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2" yWindow="4488" windowWidth="12396" windowHeight="4488"/>
  </bookViews>
  <sheets>
    <sheet name="Kalkulator" sheetId="1" r:id="rId1"/>
    <sheet name="Oblicz" sheetId="2" state="hidden" r:id="rId2"/>
    <sheet name="Komentarze" sheetId="3" r:id="rId3"/>
    <sheet name="Robol" sheetId="4" state="hidden" r:id="rId4"/>
  </sheets>
  <definedNames>
    <definedName name="a_cl">Oblicz!$J$10</definedName>
    <definedName name="a_cu">Oblicz!$J$8</definedName>
    <definedName name="A_sc">Kalkulator!$E$19</definedName>
    <definedName name="A_smaxB">Oblicz!$AN$7</definedName>
    <definedName name="A_smaxS">Oblicz!$AN$9</definedName>
    <definedName name="A_sminB">Oblicz!$AI$7</definedName>
    <definedName name="A_sminS">Oblicz!$AI$9</definedName>
    <definedName name="A_st">Kalkulator!$E$20</definedName>
    <definedName name="A_su">Kalkulator!$E$19</definedName>
    <definedName name="a_tl">Oblicz!$M$10</definedName>
    <definedName name="a_tu">Oblicz!$M$8</definedName>
    <definedName name="b">Kalkulator!$C$15</definedName>
    <definedName name="beta1">Oblicz!$Q$8</definedName>
    <definedName name="beta2">Oblicz!$Q$9</definedName>
    <definedName name="beta3">Oblicz!$Q$10</definedName>
    <definedName name="beta4">Oblicz!$Q$11</definedName>
    <definedName name="c_l">Kalkulator!$F$15</definedName>
    <definedName name="c_r">Kalkulator!$F$16</definedName>
    <definedName name="c_u">Kalkulator!$F$14</definedName>
    <definedName name="d_0">Oblicz!$K$6</definedName>
    <definedName name="d_cl">Oblicz!$J$11</definedName>
    <definedName name="d_cu">Oblicz!$J$9</definedName>
    <definedName name="d_tl">Oblicz!$M$11</definedName>
    <definedName name="d_tu">Oblicz!$M$9</definedName>
    <definedName name="Dx_1">Oblicz!$P$13</definedName>
    <definedName name="Dx_2">Oblicz!$BB$13</definedName>
    <definedName name="e_c2">Oblicz!$E$8</definedName>
    <definedName name="E_cu">Oblicz!$V$8</definedName>
    <definedName name="e_cu2">Oblicz!$E$12</definedName>
    <definedName name="E_s">Oblicz!$E$11</definedName>
    <definedName name="e_ud">Oblicz!$W$11</definedName>
    <definedName name="e_yd">Oblicz!$W$10</definedName>
    <definedName name="F_cA">Oblicz!$N$12</definedName>
    <definedName name="f_cd">Oblicz!$E$6</definedName>
    <definedName name="f_ck">Kalkulator!$C$10</definedName>
    <definedName name="f_ctm">Oblicz!$AB$6</definedName>
    <definedName name="F_l">Kalkulator!$C$20</definedName>
    <definedName name="F_u">Kalkulator!$C$19</definedName>
    <definedName name="f_yd">Oblicz!$E$7</definedName>
    <definedName name="f_yk">Kalkulator!$C$11</definedName>
    <definedName name="f_ynet">Oblicz!$E$9</definedName>
    <definedName name="g_c">Kalkulator!$F$10</definedName>
    <definedName name="g_c_L">Kalkulator!#REF!</definedName>
    <definedName name="g_s">Kalkulator!$F$11</definedName>
    <definedName name="g_s_L">Kalkulator!#REF!</definedName>
    <definedName name="h">Kalkulator!$C$14</definedName>
    <definedName name="k_s">Oblicz!$W$8</definedName>
    <definedName name="klasa">Kalkulator!$H$11</definedName>
    <definedName name="N">Oblicz!$N$13</definedName>
    <definedName name="N_2">Oblicz!$AZ$13</definedName>
    <definedName name="N_Ed1">Kalkulator!$E$53</definedName>
    <definedName name="N_Ed2">Kalkulator!$I$53</definedName>
    <definedName name="n_l">Kalkulator!$D$20</definedName>
    <definedName name="n_u">Kalkulator!$D$19</definedName>
    <definedName name="_xlnm.Print_Area" localSheetId="0">Kalkulator!$B$2:$K$53</definedName>
    <definedName name="_xlnm.Print_Area" localSheetId="1">Oblicz!$B$2:$BI$40</definedName>
    <definedName name="R_s">Oblicz!$W$9</definedName>
    <definedName name="Rodzaj_elem">Robol!$B$20</definedName>
    <definedName name="S_c">Kalkulator!$G$19</definedName>
    <definedName name="S_maxB_1">Oblicz!$AQ$7</definedName>
    <definedName name="S_maxB_2">Oblicz!$AR$7</definedName>
    <definedName name="S_MaxS_N1">Oblicz!$AQ$9</definedName>
    <definedName name="S_maxS_N2">Oblicz!$AR$9</definedName>
    <definedName name="S_min">Oblicz!$AB$11</definedName>
    <definedName name="s_smax">Oblicz!$E$10</definedName>
    <definedName name="S_t">Kalkulator!$G$20</definedName>
    <definedName name="x_C">Oblicz!$BB$9</definedName>
    <definedName name="x_end">Oblicz!$AX$14</definedName>
    <definedName name="x_M">Oblicz!$BB$8</definedName>
    <definedName name="x_max">Oblicz!$BB$11</definedName>
    <definedName name="x_Nmax">Oblicz!$BH$14</definedName>
    <definedName name="x_start">Oblicz!$I$14</definedName>
    <definedName name="x_T">Oblicz!$BB$10</definedName>
  </definedNames>
  <calcPr calcId="145621"/>
</workbook>
</file>

<file path=xl/calcChain.xml><?xml version="1.0" encoding="utf-8"?>
<calcChain xmlns="http://schemas.openxmlformats.org/spreadsheetml/2006/main">
  <c r="L12" i="1" l="1"/>
  <c r="L10" i="1"/>
  <c r="L9" i="1"/>
  <c r="L8" i="1"/>
  <c r="L6" i="1"/>
  <c r="L7" i="1"/>
  <c r="AU7" i="2"/>
  <c r="AV7" i="2"/>
  <c r="AQ7" i="2"/>
  <c r="L29" i="1" s="1"/>
  <c r="AR9" i="2"/>
  <c r="L27" i="1" s="1"/>
  <c r="AQ9" i="2"/>
  <c r="L26" i="1" s="1"/>
  <c r="AN9" i="2"/>
  <c r="B30" i="3"/>
  <c r="B3" i="4"/>
  <c r="C23" i="1"/>
  <c r="D6" i="4"/>
  <c r="E6" i="4"/>
  <c r="B10" i="4"/>
  <c r="C10" i="4"/>
  <c r="B11" i="4"/>
  <c r="B8" i="4"/>
  <c r="D12" i="4"/>
  <c r="D10" i="4"/>
  <c r="E12" i="4"/>
  <c r="C13" i="4"/>
  <c r="C11" i="4"/>
  <c r="C8" i="4"/>
  <c r="D13" i="4"/>
  <c r="AN7" i="2"/>
  <c r="L20" i="1" s="1"/>
  <c r="B29" i="3"/>
  <c r="B2" i="2"/>
  <c r="AH2" i="2" s="1"/>
  <c r="D2" i="2"/>
  <c r="AI2" i="2" s="1"/>
  <c r="B3" i="2"/>
  <c r="AH3" i="2" s="1"/>
  <c r="D3" i="2"/>
  <c r="AI3" i="2" s="1"/>
  <c r="AC3" i="2"/>
  <c r="BF3" i="2" s="1"/>
  <c r="D4" i="2"/>
  <c r="AI4" i="2" s="1"/>
  <c r="BE4" i="2"/>
  <c r="E6" i="2"/>
  <c r="N12" i="2"/>
  <c r="I17" i="2" s="1"/>
  <c r="K6" i="2"/>
  <c r="AB6" i="2"/>
  <c r="E7" i="2"/>
  <c r="W10" i="2"/>
  <c r="AB7" i="2"/>
  <c r="AB10" i="2"/>
  <c r="J8" i="2"/>
  <c r="J9" i="2"/>
  <c r="M8" i="2"/>
  <c r="M9" i="2" s="1"/>
  <c r="W8" i="2"/>
  <c r="AB8" i="2"/>
  <c r="AB9" i="2"/>
  <c r="E10" i="2"/>
  <c r="J10" i="2"/>
  <c r="J11" i="2" s="1"/>
  <c r="M10" i="2"/>
  <c r="M11" i="2" s="1"/>
  <c r="W11" i="2"/>
  <c r="H15" i="2"/>
  <c r="I15" i="2"/>
  <c r="G36" i="2"/>
  <c r="I38" i="2"/>
  <c r="J38" i="2"/>
  <c r="I39" i="2"/>
  <c r="J39" i="2"/>
  <c r="J4" i="1"/>
  <c r="AC4" i="2" s="1"/>
  <c r="BF4" i="2" s="1"/>
  <c r="E19" i="1"/>
  <c r="G19" i="1"/>
  <c r="E20" i="1"/>
  <c r="G20" i="1"/>
  <c r="B28" i="3"/>
  <c r="E9" i="2"/>
  <c r="AI9" i="2"/>
  <c r="L17" i="1" s="1"/>
  <c r="L22" i="1"/>
  <c r="L24" i="1"/>
  <c r="L25" i="1"/>
  <c r="V8" i="4"/>
  <c r="M8" i="4"/>
  <c r="N8" i="4"/>
  <c r="O8" i="4"/>
  <c r="P8" i="4"/>
  <c r="Q8" i="4"/>
  <c r="R8" i="4"/>
  <c r="S8" i="4"/>
  <c r="T8" i="4"/>
  <c r="U8" i="4"/>
  <c r="F11" i="4"/>
  <c r="E11" i="4"/>
  <c r="F10" i="4"/>
  <c r="E10" i="4"/>
  <c r="L7" i="4"/>
  <c r="D8" i="4"/>
  <c r="E8" i="4"/>
  <c r="F8" i="4"/>
  <c r="G8" i="4"/>
  <c r="H8" i="4"/>
  <c r="I8" i="4"/>
  <c r="J8" i="4"/>
  <c r="K8" i="4"/>
  <c r="L8" i="4"/>
  <c r="B7" i="4"/>
  <c r="D11" i="4"/>
  <c r="J7" i="2"/>
  <c r="M7" i="2"/>
  <c r="AB11" i="2"/>
  <c r="L11" i="1" s="1"/>
  <c r="F20" i="1"/>
  <c r="F19" i="1"/>
  <c r="H19" i="1"/>
  <c r="L13" i="1"/>
  <c r="V7" i="4"/>
  <c r="C7" i="4"/>
  <c r="H6" i="4"/>
  <c r="D7" i="4"/>
  <c r="E7" i="4"/>
  <c r="F7" i="4"/>
  <c r="G7" i="4"/>
  <c r="H7" i="4"/>
  <c r="I7" i="4"/>
  <c r="J7" i="4"/>
  <c r="K7" i="4"/>
  <c r="M7" i="4"/>
  <c r="I6" i="4"/>
  <c r="N7" i="4"/>
  <c r="O7" i="4"/>
  <c r="P7" i="4"/>
  <c r="Q7" i="4"/>
  <c r="R7" i="4"/>
  <c r="S7" i="4"/>
  <c r="T7" i="4"/>
  <c r="U7" i="4"/>
  <c r="H20" i="2" l="1"/>
  <c r="H21" i="2" s="1"/>
  <c r="H23" i="2" s="1"/>
  <c r="Q9" i="2"/>
  <c r="H17" i="2"/>
  <c r="H31" i="2" s="1"/>
  <c r="H32" i="2" s="1"/>
  <c r="I18" i="2"/>
  <c r="I31" i="2"/>
  <c r="I26" i="2"/>
  <c r="I27" i="2" s="1"/>
  <c r="I28" i="2" s="1"/>
  <c r="I29" i="2" s="1"/>
  <c r="I34" i="2" s="1"/>
  <c r="BB9" i="2"/>
  <c r="BH14" i="2" s="1"/>
  <c r="BH26" i="2" s="1"/>
  <c r="BH27" i="2" s="1"/>
  <c r="BH28" i="2" s="1"/>
  <c r="BH29" i="2" s="1"/>
  <c r="BH34" i="2" s="1"/>
  <c r="AX14" i="2"/>
  <c r="AX26" i="2" s="1"/>
  <c r="AX27" i="2" s="1"/>
  <c r="AX28" i="2" s="1"/>
  <c r="AX29" i="2" s="1"/>
  <c r="AX34" i="2" s="1"/>
  <c r="H26" i="2"/>
  <c r="H27" i="2" s="1"/>
  <c r="H28" i="2" s="1"/>
  <c r="H29" i="2" s="1"/>
  <c r="H34" i="2" s="1"/>
  <c r="AI7" i="2"/>
  <c r="Q8" i="2"/>
  <c r="BB11" i="2" s="1"/>
  <c r="O39" i="2"/>
  <c r="I20" i="2"/>
  <c r="I21" i="2" s="1"/>
  <c r="I23" i="2" s="1"/>
  <c r="L21" i="1"/>
  <c r="I16" i="2"/>
  <c r="I30" i="2"/>
  <c r="BB8" i="2"/>
  <c r="Q10" i="2"/>
  <c r="Q11" i="2" s="1"/>
  <c r="BB10" i="2" s="1"/>
  <c r="BB13" i="2"/>
  <c r="AY14" i="2" s="1"/>
  <c r="BH15" i="2"/>
  <c r="BH20" i="2"/>
  <c r="L18" i="1"/>
  <c r="I22" i="2" l="1"/>
  <c r="I24" i="2" s="1"/>
  <c r="I25" i="2" s="1"/>
  <c r="I33" i="2" s="1"/>
  <c r="H22" i="2"/>
  <c r="H24" i="2" s="1"/>
  <c r="H25" i="2" s="1"/>
  <c r="H33" i="2" s="1"/>
  <c r="H36" i="2" s="1"/>
  <c r="P39" i="2"/>
  <c r="Q39" i="2"/>
  <c r="L15" i="1"/>
  <c r="L16" i="1"/>
  <c r="I32" i="2"/>
  <c r="AX15" i="2"/>
  <c r="P13" i="2"/>
  <c r="J14" i="2" s="1"/>
  <c r="AX20" i="2"/>
  <c r="I19" i="2"/>
  <c r="BH22" i="2"/>
  <c r="BH21" i="2"/>
  <c r="BH23" i="2" s="1"/>
  <c r="BH17" i="2"/>
  <c r="BH30" i="2"/>
  <c r="BH16" i="2"/>
  <c r="AY20" i="2"/>
  <c r="AY26" i="2"/>
  <c r="AY27" i="2" s="1"/>
  <c r="AY28" i="2" s="1"/>
  <c r="AY29" i="2" s="1"/>
  <c r="AY34" i="2" s="1"/>
  <c r="AY15" i="2"/>
  <c r="AZ14" i="2"/>
  <c r="I35" i="2" l="1"/>
  <c r="I36" i="2"/>
  <c r="H42" i="2" s="1"/>
  <c r="H35" i="2"/>
  <c r="H41" i="2" s="1"/>
  <c r="BH24" i="2"/>
  <c r="BH25" i="2" s="1"/>
  <c r="BH33" i="2" s="1"/>
  <c r="AX16" i="2"/>
  <c r="AX30" i="2"/>
  <c r="AX17" i="2"/>
  <c r="J20" i="2"/>
  <c r="J15" i="2"/>
  <c r="J26" i="2"/>
  <c r="J27" i="2" s="1"/>
  <c r="J28" i="2" s="1"/>
  <c r="J29" i="2" s="1"/>
  <c r="J34" i="2" s="1"/>
  <c r="K14" i="2"/>
  <c r="AX22" i="2"/>
  <c r="AX21" i="2"/>
  <c r="AX23" i="2" s="1"/>
  <c r="AY22" i="2"/>
  <c r="AY21" i="2"/>
  <c r="AY23" i="2" s="1"/>
  <c r="BH31" i="2"/>
  <c r="BH32" i="2" s="1"/>
  <c r="BH18" i="2"/>
  <c r="BH19" i="2" s="1"/>
  <c r="AY16" i="2"/>
  <c r="AY30" i="2"/>
  <c r="AY17" i="2"/>
  <c r="AZ26" i="2"/>
  <c r="AZ27" i="2" s="1"/>
  <c r="AZ28" i="2" s="1"/>
  <c r="AZ29" i="2" s="1"/>
  <c r="AZ34" i="2" s="1"/>
  <c r="AZ15" i="2"/>
  <c r="AZ20" i="2"/>
  <c r="BA14" i="2"/>
  <c r="BH36" i="2" l="1"/>
  <c r="BH35" i="2"/>
  <c r="J22" i="2"/>
  <c r="J21" i="2"/>
  <c r="J23" i="2" s="1"/>
  <c r="K26" i="2"/>
  <c r="K27" i="2" s="1"/>
  <c r="K28" i="2" s="1"/>
  <c r="K29" i="2" s="1"/>
  <c r="K34" i="2" s="1"/>
  <c r="K20" i="2"/>
  <c r="L14" i="2"/>
  <c r="K15" i="2"/>
  <c r="AX18" i="2"/>
  <c r="AX19" i="2" s="1"/>
  <c r="AX31" i="2"/>
  <c r="AX32" i="2" s="1"/>
  <c r="AX24" i="2"/>
  <c r="AX25" i="2" s="1"/>
  <c r="AX33" i="2" s="1"/>
  <c r="J30" i="2"/>
  <c r="J16" i="2"/>
  <c r="J17" i="2"/>
  <c r="M38" i="2"/>
  <c r="U39" i="2" s="1"/>
  <c r="M39" i="2"/>
  <c r="O38" i="2"/>
  <c r="AY24" i="2"/>
  <c r="AY25" i="2" s="1"/>
  <c r="AY33" i="2" s="1"/>
  <c r="BA15" i="2"/>
  <c r="BB14" i="2"/>
  <c r="BA20" i="2"/>
  <c r="BA26" i="2"/>
  <c r="BA27" i="2" s="1"/>
  <c r="BA28" i="2" s="1"/>
  <c r="BA29" i="2" s="1"/>
  <c r="BA34" i="2" s="1"/>
  <c r="AZ21" i="2"/>
  <c r="AZ23" i="2" s="1"/>
  <c r="AZ22" i="2"/>
  <c r="AY31" i="2"/>
  <c r="AY32" i="2" s="1"/>
  <c r="AY18" i="2"/>
  <c r="AY19" i="2" s="1"/>
  <c r="AZ16" i="2"/>
  <c r="AZ30" i="2"/>
  <c r="AZ17" i="2"/>
  <c r="AX35" i="2" l="1"/>
  <c r="AZ24" i="2"/>
  <c r="AZ25" i="2" s="1"/>
  <c r="AZ33" i="2" s="1"/>
  <c r="AX36" i="2"/>
  <c r="K21" i="2"/>
  <c r="K23" i="2" s="1"/>
  <c r="K22" i="2"/>
  <c r="AY36" i="2"/>
  <c r="J31" i="2"/>
  <c r="J32" i="2" s="1"/>
  <c r="J18" i="2"/>
  <c r="J19" i="2"/>
  <c r="K17" i="2"/>
  <c r="K16" i="2"/>
  <c r="K30" i="2"/>
  <c r="L15" i="2"/>
  <c r="L26" i="2"/>
  <c r="L27" i="2" s="1"/>
  <c r="L28" i="2" s="1"/>
  <c r="L29" i="2" s="1"/>
  <c r="L34" i="2" s="1"/>
  <c r="L20" i="2"/>
  <c r="M14" i="2"/>
  <c r="J24" i="2"/>
  <c r="J25" i="2" s="1"/>
  <c r="J33" i="2" s="1"/>
  <c r="AY35" i="2"/>
  <c r="BA30" i="2"/>
  <c r="BA16" i="2"/>
  <c r="BA17" i="2"/>
  <c r="BA22" i="2"/>
  <c r="BA21" i="2"/>
  <c r="BA23" i="2" s="1"/>
  <c r="BB15" i="2"/>
  <c r="BB20" i="2"/>
  <c r="BC14" i="2"/>
  <c r="BB26" i="2"/>
  <c r="BB27" i="2" s="1"/>
  <c r="BB28" i="2" s="1"/>
  <c r="BB29" i="2" s="1"/>
  <c r="BB34" i="2" s="1"/>
  <c r="U38" i="2"/>
  <c r="T38" i="2" s="1"/>
  <c r="T39" i="2"/>
  <c r="AZ18" i="2"/>
  <c r="AZ19" i="2" s="1"/>
  <c r="AZ35" i="2" s="1"/>
  <c r="AY41" i="2" s="1"/>
  <c r="AZ31" i="2"/>
  <c r="AZ32" i="2" s="1"/>
  <c r="AZ36" i="2" s="1"/>
  <c r="AY42" i="2" s="1"/>
  <c r="K24" i="2" l="1"/>
  <c r="K25" i="2" s="1"/>
  <c r="K33" i="2" s="1"/>
  <c r="AX41" i="2"/>
  <c r="J36" i="2"/>
  <c r="I42" i="2" s="1"/>
  <c r="AX42" i="2"/>
  <c r="K18" i="2"/>
  <c r="K19" i="2" s="1"/>
  <c r="K31" i="2"/>
  <c r="K32" i="2" s="1"/>
  <c r="L17" i="2"/>
  <c r="L16" i="2"/>
  <c r="L30" i="2"/>
  <c r="M20" i="2"/>
  <c r="M26" i="2"/>
  <c r="M27" i="2" s="1"/>
  <c r="M28" i="2" s="1"/>
  <c r="M29" i="2" s="1"/>
  <c r="M34" i="2" s="1"/>
  <c r="N14" i="2"/>
  <c r="M15" i="2"/>
  <c r="J35" i="2"/>
  <c r="I41" i="2" s="1"/>
  <c r="L21" i="2"/>
  <c r="L23" i="2" s="1"/>
  <c r="L22" i="2"/>
  <c r="BD14" i="2"/>
  <c r="BC15" i="2"/>
  <c r="BC20" i="2"/>
  <c r="BC26" i="2"/>
  <c r="BC27" i="2" s="1"/>
  <c r="BC28" i="2" s="1"/>
  <c r="BC29" i="2" s="1"/>
  <c r="BC34" i="2" s="1"/>
  <c r="BB21" i="2"/>
  <c r="BB23" i="2" s="1"/>
  <c r="BB22" i="2"/>
  <c r="BA24" i="2"/>
  <c r="BA25" i="2" s="1"/>
  <c r="BA33" i="2" s="1"/>
  <c r="BA31" i="2"/>
  <c r="BA32" i="2" s="1"/>
  <c r="BA18" i="2"/>
  <c r="BA19" i="2" s="1"/>
  <c r="BB17" i="2"/>
  <c r="BB16" i="2"/>
  <c r="BB30" i="2"/>
  <c r="K35" i="2" l="1"/>
  <c r="J41" i="2" s="1"/>
  <c r="K36" i="2"/>
  <c r="BA36" i="2"/>
  <c r="AZ42" i="2" s="1"/>
  <c r="L24" i="2"/>
  <c r="L25" i="2" s="1"/>
  <c r="L33" i="2" s="1"/>
  <c r="J42" i="2"/>
  <c r="BA35" i="2"/>
  <c r="AZ41" i="2" s="1"/>
  <c r="O14" i="2"/>
  <c r="N26" i="2"/>
  <c r="N27" i="2" s="1"/>
  <c r="N28" i="2" s="1"/>
  <c r="N29" i="2" s="1"/>
  <c r="N34" i="2" s="1"/>
  <c r="N15" i="2"/>
  <c r="N20" i="2"/>
  <c r="L31" i="2"/>
  <c r="L18" i="2"/>
  <c r="L19" i="2" s="1"/>
  <c r="L35" i="2" s="1"/>
  <c r="M22" i="2"/>
  <c r="M21" i="2"/>
  <c r="M23" i="2" s="1"/>
  <c r="BB24" i="2"/>
  <c r="BB25" i="2" s="1"/>
  <c r="BB33" i="2" s="1"/>
  <c r="M17" i="2"/>
  <c r="M16" i="2"/>
  <c r="M30" i="2"/>
  <c r="L32" i="2"/>
  <c r="BB18" i="2"/>
  <c r="BB19" i="2" s="1"/>
  <c r="BB31" i="2"/>
  <c r="BB32" i="2" s="1"/>
  <c r="BC22" i="2"/>
  <c r="BC21" i="2"/>
  <c r="BC23" i="2" s="1"/>
  <c r="BC16" i="2"/>
  <c r="BC30" i="2"/>
  <c r="BC17" i="2"/>
  <c r="BE14" i="2"/>
  <c r="BD15" i="2"/>
  <c r="BD20" i="2"/>
  <c r="BD26" i="2"/>
  <c r="BD27" i="2" s="1"/>
  <c r="BD28" i="2" s="1"/>
  <c r="BD29" i="2" s="1"/>
  <c r="BD34" i="2" s="1"/>
  <c r="K41" i="2" l="1"/>
  <c r="L36" i="2"/>
  <c r="K42" i="2" s="1"/>
  <c r="BB36" i="2"/>
  <c r="BA42" i="2" s="1"/>
  <c r="BB35" i="2"/>
  <c r="BA41" i="2" s="1"/>
  <c r="N21" i="2"/>
  <c r="N23" i="2" s="1"/>
  <c r="N22" i="2"/>
  <c r="M24" i="2"/>
  <c r="M25" i="2" s="1"/>
  <c r="M33" i="2" s="1"/>
  <c r="N16" i="2"/>
  <c r="N30" i="2"/>
  <c r="N17" i="2"/>
  <c r="M31" i="2"/>
  <c r="M32" i="2" s="1"/>
  <c r="M36" i="2" s="1"/>
  <c r="L42" i="2" s="1"/>
  <c r="M18" i="2"/>
  <c r="M19" i="2" s="1"/>
  <c r="O26" i="2"/>
  <c r="O27" i="2" s="1"/>
  <c r="O28" i="2" s="1"/>
  <c r="O29" i="2" s="1"/>
  <c r="O34" i="2" s="1"/>
  <c r="O20" i="2"/>
  <c r="P14" i="2"/>
  <c r="O15" i="2"/>
  <c r="BD30" i="2"/>
  <c r="BD16" i="2"/>
  <c r="BD17" i="2"/>
  <c r="BE15" i="2"/>
  <c r="BF14" i="2"/>
  <c r="BE20" i="2"/>
  <c r="BE26" i="2"/>
  <c r="BE27" i="2" s="1"/>
  <c r="BE28" i="2" s="1"/>
  <c r="BE29" i="2" s="1"/>
  <c r="BE34" i="2" s="1"/>
  <c r="BC18" i="2"/>
  <c r="BC19" i="2" s="1"/>
  <c r="BC31" i="2"/>
  <c r="BC24" i="2"/>
  <c r="BC25" i="2" s="1"/>
  <c r="BC33" i="2" s="1"/>
  <c r="BD22" i="2"/>
  <c r="BD21" i="2"/>
  <c r="BD23" i="2" s="1"/>
  <c r="BC32" i="2"/>
  <c r="M35" i="2" l="1"/>
  <c r="L41" i="2" s="1"/>
  <c r="BC36" i="2"/>
  <c r="BB42" i="2" s="1"/>
  <c r="N24" i="2"/>
  <c r="N25" i="2" s="1"/>
  <c r="N33" i="2" s="1"/>
  <c r="O16" i="2"/>
  <c r="O17" i="2"/>
  <c r="O30" i="2"/>
  <c r="P20" i="2"/>
  <c r="P15" i="2"/>
  <c r="P26" i="2"/>
  <c r="P27" i="2" s="1"/>
  <c r="P28" i="2" s="1"/>
  <c r="P29" i="2" s="1"/>
  <c r="P34" i="2" s="1"/>
  <c r="Q14" i="2"/>
  <c r="BC35" i="2"/>
  <c r="BB41" i="2" s="1"/>
  <c r="O21" i="2"/>
  <c r="O23" i="2" s="1"/>
  <c r="O22" i="2"/>
  <c r="O24" i="2" s="1"/>
  <c r="O25" i="2" s="1"/>
  <c r="O33" i="2" s="1"/>
  <c r="N18" i="2"/>
  <c r="N19" i="2" s="1"/>
  <c r="N31" i="2"/>
  <c r="N32" i="2" s="1"/>
  <c r="N36" i="2" s="1"/>
  <c r="M42" i="2" s="1"/>
  <c r="BE17" i="2"/>
  <c r="BE30" i="2"/>
  <c r="BE16" i="2"/>
  <c r="BE21" i="2"/>
  <c r="BE23" i="2" s="1"/>
  <c r="BE22" i="2"/>
  <c r="BD24" i="2"/>
  <c r="BD25" i="2" s="1"/>
  <c r="BD33" i="2" s="1"/>
  <c r="BG14" i="2"/>
  <c r="BF15" i="2"/>
  <c r="BF20" i="2"/>
  <c r="BF26" i="2"/>
  <c r="BF27" i="2" s="1"/>
  <c r="BF28" i="2" s="1"/>
  <c r="BF29" i="2" s="1"/>
  <c r="BF34" i="2" s="1"/>
  <c r="BD31" i="2"/>
  <c r="BD32" i="2" s="1"/>
  <c r="BD18" i="2"/>
  <c r="BD19" i="2" s="1"/>
  <c r="N35" i="2" l="1"/>
  <c r="M41" i="2" s="1"/>
  <c r="BD35" i="2"/>
  <c r="BC41" i="2" s="1"/>
  <c r="P21" i="2"/>
  <c r="P23" i="2" s="1"/>
  <c r="P22" i="2"/>
  <c r="P24" i="2" s="1"/>
  <c r="P25" i="2" s="1"/>
  <c r="P33" i="2" s="1"/>
  <c r="Q20" i="2"/>
  <c r="R14" i="2"/>
  <c r="Q26" i="2"/>
  <c r="Q27" i="2" s="1"/>
  <c r="Q28" i="2" s="1"/>
  <c r="Q29" i="2" s="1"/>
  <c r="Q34" i="2" s="1"/>
  <c r="Q15" i="2"/>
  <c r="O31" i="2"/>
  <c r="O32" i="2" s="1"/>
  <c r="O36" i="2" s="1"/>
  <c r="N42" i="2" s="1"/>
  <c r="O18" i="2"/>
  <c r="O19" i="2" s="1"/>
  <c r="O35" i="2" s="1"/>
  <c r="BD36" i="2"/>
  <c r="BC42" i="2" s="1"/>
  <c r="P16" i="2"/>
  <c r="P30" i="2"/>
  <c r="P17" i="2"/>
  <c r="BF16" i="2"/>
  <c r="BF30" i="2"/>
  <c r="BF17" i="2"/>
  <c r="BG20" i="2"/>
  <c r="BG15" i="2"/>
  <c r="BG26" i="2"/>
  <c r="BG27" i="2" s="1"/>
  <c r="BG28" i="2" s="1"/>
  <c r="BG29" i="2" s="1"/>
  <c r="BG34" i="2" s="1"/>
  <c r="BE18" i="2"/>
  <c r="BE19" i="2" s="1"/>
  <c r="BE31" i="2"/>
  <c r="BE32" i="2" s="1"/>
  <c r="BF22" i="2"/>
  <c r="BF21" i="2"/>
  <c r="BF23" i="2" s="1"/>
  <c r="BE24" i="2"/>
  <c r="BE25" i="2" s="1"/>
  <c r="BE33" i="2" s="1"/>
  <c r="N41" i="2" l="1"/>
  <c r="BE35" i="2"/>
  <c r="BD41" i="2" s="1"/>
  <c r="BE36" i="2"/>
  <c r="BD42" i="2" s="1"/>
  <c r="R26" i="2"/>
  <c r="R27" i="2" s="1"/>
  <c r="R28" i="2" s="1"/>
  <c r="R29" i="2" s="1"/>
  <c r="R34" i="2" s="1"/>
  <c r="S14" i="2"/>
  <c r="R20" i="2"/>
  <c r="R15" i="2"/>
  <c r="P19" i="2"/>
  <c r="P35" i="2" s="1"/>
  <c r="O41" i="2" s="1"/>
  <c r="Q21" i="2"/>
  <c r="Q23" i="2" s="1"/>
  <c r="Q22" i="2"/>
  <c r="BF24" i="2"/>
  <c r="BF25" i="2" s="1"/>
  <c r="BF33" i="2" s="1"/>
  <c r="Q16" i="2"/>
  <c r="Q30" i="2"/>
  <c r="Q17" i="2"/>
  <c r="P18" i="2"/>
  <c r="P31" i="2"/>
  <c r="P32" i="2" s="1"/>
  <c r="P36" i="2" s="1"/>
  <c r="O42" i="2" s="1"/>
  <c r="BG16" i="2"/>
  <c r="BG30" i="2"/>
  <c r="BG17" i="2"/>
  <c r="BG22" i="2"/>
  <c r="BG21" i="2"/>
  <c r="BG23" i="2" s="1"/>
  <c r="BF31" i="2"/>
  <c r="BF32" i="2" s="1"/>
  <c r="BF18" i="2"/>
  <c r="BF19" i="2" s="1"/>
  <c r="BF35" i="2" l="1"/>
  <c r="BE41" i="2" s="1"/>
  <c r="BG24" i="2"/>
  <c r="BG25" i="2" s="1"/>
  <c r="BG33" i="2" s="1"/>
  <c r="Q24" i="2"/>
  <c r="Q25" i="2" s="1"/>
  <c r="Q33" i="2" s="1"/>
  <c r="BF36" i="2"/>
  <c r="BE42" i="2" s="1"/>
  <c r="Q31" i="2"/>
  <c r="Q32" i="2" s="1"/>
  <c r="Q18" i="2"/>
  <c r="Q19" i="2" s="1"/>
  <c r="R21" i="2"/>
  <c r="R23" i="2" s="1"/>
  <c r="R22" i="2"/>
  <c r="R24" i="2" s="1"/>
  <c r="R25" i="2" s="1"/>
  <c r="R33" i="2" s="1"/>
  <c r="S20" i="2"/>
  <c r="S26" i="2"/>
  <c r="S27" i="2" s="1"/>
  <c r="S28" i="2" s="1"/>
  <c r="S29" i="2" s="1"/>
  <c r="S34" i="2" s="1"/>
  <c r="S15" i="2"/>
  <c r="T14" i="2"/>
  <c r="R17" i="2"/>
  <c r="R30" i="2"/>
  <c r="R16" i="2"/>
  <c r="BG31" i="2"/>
  <c r="BG32" i="2" s="1"/>
  <c r="BG36" i="2" s="1"/>
  <c r="BG18" i="2"/>
  <c r="BG19" i="2" s="1"/>
  <c r="BG35" i="2" s="1"/>
  <c r="Q36" i="2" l="1"/>
  <c r="P42" i="2" s="1"/>
  <c r="Q35" i="2"/>
  <c r="P41" i="2" s="1"/>
  <c r="T26" i="2"/>
  <c r="T27" i="2" s="1"/>
  <c r="T28" i="2" s="1"/>
  <c r="T29" i="2" s="1"/>
  <c r="T34" i="2" s="1"/>
  <c r="T15" i="2"/>
  <c r="T20" i="2"/>
  <c r="U14" i="2"/>
  <c r="S30" i="2"/>
  <c r="S16" i="2"/>
  <c r="S17" i="2"/>
  <c r="R31" i="2"/>
  <c r="R32" i="2" s="1"/>
  <c r="R36" i="2" s="1"/>
  <c r="R18" i="2"/>
  <c r="R19" i="2" s="1"/>
  <c r="R35" i="2" s="1"/>
  <c r="Q41" i="2" s="1"/>
  <c r="S22" i="2"/>
  <c r="S21" i="2"/>
  <c r="S23" i="2" s="1"/>
  <c r="BF42" i="2"/>
  <c r="BG42" i="2"/>
  <c r="BF41" i="2"/>
  <c r="BG41" i="2"/>
  <c r="Q42" i="2" l="1"/>
  <c r="U20" i="2"/>
  <c r="U15" i="2"/>
  <c r="U26" i="2"/>
  <c r="U27" i="2" s="1"/>
  <c r="U28" i="2" s="1"/>
  <c r="U29" i="2" s="1"/>
  <c r="U34" i="2" s="1"/>
  <c r="V14" i="2"/>
  <c r="S31" i="2"/>
  <c r="S32" i="2" s="1"/>
  <c r="S18" i="2"/>
  <c r="T22" i="2"/>
  <c r="T21" i="2"/>
  <c r="T23" i="2" s="1"/>
  <c r="S24" i="2"/>
  <c r="S25" i="2" s="1"/>
  <c r="S33" i="2" s="1"/>
  <c r="S19" i="2"/>
  <c r="T30" i="2"/>
  <c r="T16" i="2"/>
  <c r="T17" i="2"/>
  <c r="T24" i="2" l="1"/>
  <c r="T25" i="2" s="1"/>
  <c r="T33" i="2" s="1"/>
  <c r="S36" i="2"/>
  <c r="R42" i="2" s="1"/>
  <c r="W14" i="2"/>
  <c r="V20" i="2"/>
  <c r="V26" i="2"/>
  <c r="V27" i="2" s="1"/>
  <c r="V28" i="2" s="1"/>
  <c r="V29" i="2" s="1"/>
  <c r="V34" i="2" s="1"/>
  <c r="V15" i="2"/>
  <c r="S35" i="2"/>
  <c r="R41" i="2" s="1"/>
  <c r="U16" i="2"/>
  <c r="U17" i="2"/>
  <c r="U30" i="2"/>
  <c r="T31" i="2"/>
  <c r="T32" i="2" s="1"/>
  <c r="T18" i="2"/>
  <c r="T19" i="2" s="1"/>
  <c r="U21" i="2"/>
  <c r="U23" i="2" s="1"/>
  <c r="U22" i="2"/>
  <c r="T36" i="2" l="1"/>
  <c r="S42" i="2" s="1"/>
  <c r="T35" i="2"/>
  <c r="S41" i="2" s="1"/>
  <c r="U24" i="2"/>
  <c r="U25" i="2" s="1"/>
  <c r="U33" i="2" s="1"/>
  <c r="V17" i="2"/>
  <c r="V30" i="2"/>
  <c r="V16" i="2"/>
  <c r="U18" i="2"/>
  <c r="U19" i="2" s="1"/>
  <c r="U31" i="2"/>
  <c r="U32" i="2" s="1"/>
  <c r="V22" i="2"/>
  <c r="V21" i="2"/>
  <c r="V23" i="2" s="1"/>
  <c r="W26" i="2"/>
  <c r="W27" i="2" s="1"/>
  <c r="W28" i="2" s="1"/>
  <c r="W29" i="2" s="1"/>
  <c r="W34" i="2" s="1"/>
  <c r="W15" i="2"/>
  <c r="W20" i="2"/>
  <c r="X14" i="2"/>
  <c r="U36" i="2" l="1"/>
  <c r="T42" i="2"/>
  <c r="U35" i="2"/>
  <c r="T41" i="2" s="1"/>
  <c r="X26" i="2"/>
  <c r="X27" i="2" s="1"/>
  <c r="X28" i="2" s="1"/>
  <c r="X29" i="2" s="1"/>
  <c r="X34" i="2" s="1"/>
  <c r="X15" i="2"/>
  <c r="X20" i="2"/>
  <c r="Y14" i="2"/>
  <c r="W21" i="2"/>
  <c r="W23" i="2" s="1"/>
  <c r="W22" i="2"/>
  <c r="V24" i="2"/>
  <c r="V25" i="2" s="1"/>
  <c r="V33" i="2" s="1"/>
  <c r="W30" i="2"/>
  <c r="W17" i="2"/>
  <c r="W16" i="2"/>
  <c r="V18" i="2"/>
  <c r="V19" i="2" s="1"/>
  <c r="V31" i="2"/>
  <c r="V32" i="2" s="1"/>
  <c r="V36" i="2" l="1"/>
  <c r="U42" i="2" s="1"/>
  <c r="Y15" i="2"/>
  <c r="Y26" i="2"/>
  <c r="Y27" i="2" s="1"/>
  <c r="Y28" i="2" s="1"/>
  <c r="Y29" i="2" s="1"/>
  <c r="Y34" i="2" s="1"/>
  <c r="Y20" i="2"/>
  <c r="Z14" i="2"/>
  <c r="W31" i="2"/>
  <c r="W32" i="2" s="1"/>
  <c r="W18" i="2"/>
  <c r="W19" i="2" s="1"/>
  <c r="V35" i="2"/>
  <c r="U41" i="2" s="1"/>
  <c r="X21" i="2"/>
  <c r="X23" i="2" s="1"/>
  <c r="X22" i="2"/>
  <c r="W24" i="2"/>
  <c r="W25" i="2" s="1"/>
  <c r="W33" i="2" s="1"/>
  <c r="X16" i="2"/>
  <c r="X30" i="2"/>
  <c r="X17" i="2"/>
  <c r="W35" i="2" l="1"/>
  <c r="V41" i="2" s="1"/>
  <c r="Y22" i="2"/>
  <c r="Y21" i="2"/>
  <c r="Y23" i="2" s="1"/>
  <c r="X18" i="2"/>
  <c r="X19" i="2" s="1"/>
  <c r="X31" i="2"/>
  <c r="X32" i="2" s="1"/>
  <c r="X24" i="2"/>
  <c r="X25" i="2" s="1"/>
  <c r="X33" i="2" s="1"/>
  <c r="W36" i="2"/>
  <c r="V42" i="2" s="1"/>
  <c r="Y16" i="2"/>
  <c r="Y30" i="2"/>
  <c r="Y17" i="2"/>
  <c r="Z26" i="2"/>
  <c r="Z27" i="2" s="1"/>
  <c r="Z28" i="2" s="1"/>
  <c r="Z29" i="2" s="1"/>
  <c r="Z34" i="2" s="1"/>
  <c r="Z20" i="2"/>
  <c r="Z15" i="2"/>
  <c r="AA14" i="2"/>
  <c r="X35" i="2" l="1"/>
  <c r="W41" i="2" s="1"/>
  <c r="AB14" i="2"/>
  <c r="AA26" i="2"/>
  <c r="AA27" i="2" s="1"/>
  <c r="AA28" i="2" s="1"/>
  <c r="AA29" i="2" s="1"/>
  <c r="AA34" i="2" s="1"/>
  <c r="AA20" i="2"/>
  <c r="AA15" i="2"/>
  <c r="Y24" i="2"/>
  <c r="Y25" i="2" s="1"/>
  <c r="Y33" i="2" s="1"/>
  <c r="Z21" i="2"/>
  <c r="Z23" i="2" s="1"/>
  <c r="Z22" i="2"/>
  <c r="Y18" i="2"/>
  <c r="Y19" i="2" s="1"/>
  <c r="Y31" i="2"/>
  <c r="Z17" i="2"/>
  <c r="Z16" i="2"/>
  <c r="Z30" i="2"/>
  <c r="Y32" i="2"/>
  <c r="X36" i="2"/>
  <c r="W42" i="2" s="1"/>
  <c r="Y36" i="2" l="1"/>
  <c r="Y35" i="2"/>
  <c r="X41" i="2" s="1"/>
  <c r="Z24" i="2"/>
  <c r="Z25" i="2" s="1"/>
  <c r="Z33" i="2" s="1"/>
  <c r="AA21" i="2"/>
  <c r="AA23" i="2" s="1"/>
  <c r="AA22" i="2"/>
  <c r="Z31" i="2"/>
  <c r="Z18" i="2"/>
  <c r="Z19" i="2" s="1"/>
  <c r="X42" i="2"/>
  <c r="AB20" i="2"/>
  <c r="AB15" i="2"/>
  <c r="AC14" i="2"/>
  <c r="AB26" i="2"/>
  <c r="AB27" i="2" s="1"/>
  <c r="AB28" i="2" s="1"/>
  <c r="AB29" i="2" s="1"/>
  <c r="AB34" i="2" s="1"/>
  <c r="Z32" i="2"/>
  <c r="AA17" i="2"/>
  <c r="AA30" i="2"/>
  <c r="AA16" i="2"/>
  <c r="Z36" i="2" l="1"/>
  <c r="Y42" i="2" s="1"/>
  <c r="Z35" i="2"/>
  <c r="Y41" i="2" s="1"/>
  <c r="AC20" i="2"/>
  <c r="AC26" i="2"/>
  <c r="AC27" i="2" s="1"/>
  <c r="AC28" i="2" s="1"/>
  <c r="AC29" i="2" s="1"/>
  <c r="AC34" i="2" s="1"/>
  <c r="AD14" i="2"/>
  <c r="AC15" i="2"/>
  <c r="AA31" i="2"/>
  <c r="AA32" i="2" s="1"/>
  <c r="AA18" i="2"/>
  <c r="AB17" i="2"/>
  <c r="AB16" i="2"/>
  <c r="AB30" i="2"/>
  <c r="AA19" i="2"/>
  <c r="AA35" i="2" s="1"/>
  <c r="AB22" i="2"/>
  <c r="AB21" i="2"/>
  <c r="AB23" i="2" s="1"/>
  <c r="AA24" i="2"/>
  <c r="AA25" i="2" s="1"/>
  <c r="AA33" i="2" s="1"/>
  <c r="Z41" i="2" l="1"/>
  <c r="AC30" i="2"/>
  <c r="AC17" i="2"/>
  <c r="AC16" i="2"/>
  <c r="AB24" i="2"/>
  <c r="AB25" i="2" s="1"/>
  <c r="AB33" i="2" s="1"/>
  <c r="AB31" i="2"/>
  <c r="AB32" i="2" s="1"/>
  <c r="AB18" i="2"/>
  <c r="AB19" i="2" s="1"/>
  <c r="AD15" i="2"/>
  <c r="AE14" i="2"/>
  <c r="AD20" i="2"/>
  <c r="AD26" i="2"/>
  <c r="AD27" i="2" s="1"/>
  <c r="AD28" i="2" s="1"/>
  <c r="AD29" i="2" s="1"/>
  <c r="AD34" i="2" s="1"/>
  <c r="AA36" i="2"/>
  <c r="Z42" i="2" s="1"/>
  <c r="AC22" i="2"/>
  <c r="AC21" i="2"/>
  <c r="AC23" i="2" s="1"/>
  <c r="AB35" i="2" l="1"/>
  <c r="AA41" i="2" s="1"/>
  <c r="AB36" i="2"/>
  <c r="AA42" i="2" s="1"/>
  <c r="AD30" i="2"/>
  <c r="AD16" i="2"/>
  <c r="AD17" i="2"/>
  <c r="AC31" i="2"/>
  <c r="AC32" i="2" s="1"/>
  <c r="AC18" i="2"/>
  <c r="AC19" i="2" s="1"/>
  <c r="AD21" i="2"/>
  <c r="AD23" i="2" s="1"/>
  <c r="AD22" i="2"/>
  <c r="AC24" i="2"/>
  <c r="AC25" i="2" s="1"/>
  <c r="AC33" i="2" s="1"/>
  <c r="AE26" i="2"/>
  <c r="AE27" i="2" s="1"/>
  <c r="AE28" i="2" s="1"/>
  <c r="AE29" i="2" s="1"/>
  <c r="AE34" i="2" s="1"/>
  <c r="AF14" i="2"/>
  <c r="AE15" i="2"/>
  <c r="AE20" i="2"/>
  <c r="AD24" i="2" l="1"/>
  <c r="AD25" i="2" s="1"/>
  <c r="AD33" i="2" s="1"/>
  <c r="AC36" i="2"/>
  <c r="AB42" i="2" s="1"/>
  <c r="AF20" i="2"/>
  <c r="AF26" i="2"/>
  <c r="AF27" i="2" s="1"/>
  <c r="AF28" i="2" s="1"/>
  <c r="AF29" i="2" s="1"/>
  <c r="AF34" i="2" s="1"/>
  <c r="AF15" i="2"/>
  <c r="AG14" i="2"/>
  <c r="AE30" i="2"/>
  <c r="AE17" i="2"/>
  <c r="AE16" i="2"/>
  <c r="AD18" i="2"/>
  <c r="AD19" i="2" s="1"/>
  <c r="AD31" i="2"/>
  <c r="AD32" i="2" s="1"/>
  <c r="AE21" i="2"/>
  <c r="AE23" i="2" s="1"/>
  <c r="AE22" i="2"/>
  <c r="AC35" i="2"/>
  <c r="AB41" i="2" s="1"/>
  <c r="AD36" i="2" l="1"/>
  <c r="AC42" i="2" s="1"/>
  <c r="AD35" i="2"/>
  <c r="AC41" i="2" s="1"/>
  <c r="AG15" i="2"/>
  <c r="AG20" i="2"/>
  <c r="AG26" i="2"/>
  <c r="AG27" i="2" s="1"/>
  <c r="AG28" i="2" s="1"/>
  <c r="AG29" i="2" s="1"/>
  <c r="AG34" i="2" s="1"/>
  <c r="AH14" i="2"/>
  <c r="AE24" i="2"/>
  <c r="AE25" i="2" s="1"/>
  <c r="AE33" i="2" s="1"/>
  <c r="AF30" i="2"/>
  <c r="AF16" i="2"/>
  <c r="AF17" i="2"/>
  <c r="AE31" i="2"/>
  <c r="AE32" i="2" s="1"/>
  <c r="AE18" i="2"/>
  <c r="AE19" i="2" s="1"/>
  <c r="AE35" i="2" s="1"/>
  <c r="AD41" i="2" s="1"/>
  <c r="AF21" i="2"/>
  <c r="AF23" i="2" s="1"/>
  <c r="AF22" i="2"/>
  <c r="AE36" i="2" l="1"/>
  <c r="AD42" i="2"/>
  <c r="AG21" i="2"/>
  <c r="AG23" i="2" s="1"/>
  <c r="AG22" i="2"/>
  <c r="AG24" i="2" s="1"/>
  <c r="AG25" i="2" s="1"/>
  <c r="AG33" i="2" s="1"/>
  <c r="AG30" i="2"/>
  <c r="AG17" i="2"/>
  <c r="AG16" i="2"/>
  <c r="AF24" i="2"/>
  <c r="AF25" i="2" s="1"/>
  <c r="AF33" i="2" s="1"/>
  <c r="AF18" i="2"/>
  <c r="AF19" i="2" s="1"/>
  <c r="AF31" i="2"/>
  <c r="AF32" i="2" s="1"/>
  <c r="AH20" i="2"/>
  <c r="AH15" i="2"/>
  <c r="AI14" i="2"/>
  <c r="AH26" i="2"/>
  <c r="AH27" i="2" s="1"/>
  <c r="AH28" i="2" s="1"/>
  <c r="AH29" i="2" s="1"/>
  <c r="AH34" i="2" s="1"/>
  <c r="AF36" i="2" l="1"/>
  <c r="AE42" i="2" s="1"/>
  <c r="AI20" i="2"/>
  <c r="AI15" i="2"/>
  <c r="AJ14" i="2"/>
  <c r="AI26" i="2"/>
  <c r="AI27" i="2" s="1"/>
  <c r="AI28" i="2" s="1"/>
  <c r="AI29" i="2" s="1"/>
  <c r="AI34" i="2" s="1"/>
  <c r="AF35" i="2"/>
  <c r="AE41" i="2" s="1"/>
  <c r="AH16" i="2"/>
  <c r="AH17" i="2"/>
  <c r="AH30" i="2"/>
  <c r="AH22" i="2"/>
  <c r="AH21" i="2"/>
  <c r="AH23" i="2" s="1"/>
  <c r="AG18" i="2"/>
  <c r="AG19" i="2" s="1"/>
  <c r="AG35" i="2" s="1"/>
  <c r="AF41" i="2" s="1"/>
  <c r="AG31" i="2"/>
  <c r="AG32" i="2" s="1"/>
  <c r="AG36" i="2" s="1"/>
  <c r="AF42" i="2" s="1"/>
  <c r="AH24" i="2" l="1"/>
  <c r="AH25" i="2" s="1"/>
  <c r="AH33" i="2" s="1"/>
  <c r="AH31" i="2"/>
  <c r="AH32" i="2" s="1"/>
  <c r="AH18" i="2"/>
  <c r="AH19" i="2" s="1"/>
  <c r="AJ20" i="2"/>
  <c r="AJ15" i="2"/>
  <c r="AJ26" i="2"/>
  <c r="AJ27" i="2" s="1"/>
  <c r="AJ28" i="2" s="1"/>
  <c r="AJ29" i="2" s="1"/>
  <c r="AJ34" i="2" s="1"/>
  <c r="AK14" i="2"/>
  <c r="AI30" i="2"/>
  <c r="AI17" i="2"/>
  <c r="AI16" i="2"/>
  <c r="AI22" i="2"/>
  <c r="AI21" i="2"/>
  <c r="AI23" i="2" s="1"/>
  <c r="AH35" i="2" l="1"/>
  <c r="AG41" i="2" s="1"/>
  <c r="AH36" i="2"/>
  <c r="AG42" i="2" s="1"/>
  <c r="AI18" i="2"/>
  <c r="AI19" i="2" s="1"/>
  <c r="AI31" i="2"/>
  <c r="AI32" i="2" s="1"/>
  <c r="AJ16" i="2"/>
  <c r="AJ30" i="2"/>
  <c r="AJ17" i="2"/>
  <c r="AJ21" i="2"/>
  <c r="AJ23" i="2" s="1"/>
  <c r="AJ22" i="2"/>
  <c r="AI24" i="2"/>
  <c r="AI25" i="2" s="1"/>
  <c r="AI33" i="2" s="1"/>
  <c r="AK15" i="2"/>
  <c r="AL14" i="2"/>
  <c r="AK20" i="2"/>
  <c r="AK26" i="2"/>
  <c r="AK27" i="2" s="1"/>
  <c r="AK28" i="2" s="1"/>
  <c r="AK29" i="2" s="1"/>
  <c r="AK34" i="2" s="1"/>
  <c r="AJ24" i="2" l="1"/>
  <c r="AJ25" i="2" s="1"/>
  <c r="AJ33" i="2" s="1"/>
  <c r="AI36" i="2"/>
  <c r="AH42" i="2" s="1"/>
  <c r="AK22" i="2"/>
  <c r="AK21" i="2"/>
  <c r="AK23" i="2" s="1"/>
  <c r="AL15" i="2"/>
  <c r="AM14" i="2"/>
  <c r="AL26" i="2"/>
  <c r="AL27" i="2" s="1"/>
  <c r="AL28" i="2" s="1"/>
  <c r="AL29" i="2" s="1"/>
  <c r="AL34" i="2" s="1"/>
  <c r="AL20" i="2"/>
  <c r="AK30" i="2"/>
  <c r="AK17" i="2"/>
  <c r="AK16" i="2"/>
  <c r="AJ31" i="2"/>
  <c r="AJ32" i="2" s="1"/>
  <c r="AJ36" i="2" s="1"/>
  <c r="AI42" i="2" s="1"/>
  <c r="AJ18" i="2"/>
  <c r="AJ19" i="2" s="1"/>
  <c r="AJ35" i="2" s="1"/>
  <c r="AI35" i="2"/>
  <c r="AH41" i="2" s="1"/>
  <c r="AI41" i="2" l="1"/>
  <c r="AL22" i="2"/>
  <c r="AL21" i="2"/>
  <c r="AL23" i="2" s="1"/>
  <c r="AK24" i="2"/>
  <c r="AK25" i="2" s="1"/>
  <c r="AK33" i="2" s="1"/>
  <c r="AK19" i="2"/>
  <c r="AK31" i="2"/>
  <c r="AK32" i="2" s="1"/>
  <c r="AK18" i="2"/>
  <c r="AM26" i="2"/>
  <c r="AM27" i="2" s="1"/>
  <c r="AM28" i="2" s="1"/>
  <c r="AM29" i="2" s="1"/>
  <c r="AM34" i="2" s="1"/>
  <c r="AM20" i="2"/>
  <c r="AM15" i="2"/>
  <c r="AN14" i="2"/>
  <c r="AL17" i="2"/>
  <c r="AL30" i="2"/>
  <c r="AL16" i="2"/>
  <c r="AK36" i="2" l="1"/>
  <c r="AJ42" i="2" s="1"/>
  <c r="AL24" i="2"/>
  <c r="AL25" i="2" s="1"/>
  <c r="AL33" i="2" s="1"/>
  <c r="AM21" i="2"/>
  <c r="AM23" i="2" s="1"/>
  <c r="AM22" i="2"/>
  <c r="AK35" i="2"/>
  <c r="AJ41" i="2" s="1"/>
  <c r="AL31" i="2"/>
  <c r="AL32" i="2" s="1"/>
  <c r="AL18" i="2"/>
  <c r="AL19" i="2" s="1"/>
  <c r="AL35" i="2" s="1"/>
  <c r="AK41" i="2" s="1"/>
  <c r="AN20" i="2"/>
  <c r="AO14" i="2"/>
  <c r="AN26" i="2"/>
  <c r="AN27" i="2" s="1"/>
  <c r="AN28" i="2" s="1"/>
  <c r="AN29" i="2" s="1"/>
  <c r="AN34" i="2" s="1"/>
  <c r="AN15" i="2"/>
  <c r="AM17" i="2"/>
  <c r="AM30" i="2"/>
  <c r="AM16" i="2"/>
  <c r="AM24" i="2" l="1"/>
  <c r="AM25" i="2" s="1"/>
  <c r="AM33" i="2" s="1"/>
  <c r="AL36" i="2"/>
  <c r="AK42" i="2" s="1"/>
  <c r="AO15" i="2"/>
  <c r="AO26" i="2"/>
  <c r="AO27" i="2" s="1"/>
  <c r="AO28" i="2" s="1"/>
  <c r="AO29" i="2" s="1"/>
  <c r="AO34" i="2" s="1"/>
  <c r="AO20" i="2"/>
  <c r="AP14" i="2"/>
  <c r="AN21" i="2"/>
  <c r="AN23" i="2" s="1"/>
  <c r="AN22" i="2"/>
  <c r="AN24" i="2" s="1"/>
  <c r="AN25" i="2" s="1"/>
  <c r="AN33" i="2" s="1"/>
  <c r="AM18" i="2"/>
  <c r="AM19" i="2" s="1"/>
  <c r="AM35" i="2" s="1"/>
  <c r="AL41" i="2" s="1"/>
  <c r="AM31" i="2"/>
  <c r="AM32" i="2" s="1"/>
  <c r="AM36" i="2" s="1"/>
  <c r="AL42" i="2" s="1"/>
  <c r="AN30" i="2"/>
  <c r="AN17" i="2"/>
  <c r="AN16" i="2"/>
  <c r="AO30" i="2" l="1"/>
  <c r="AO16" i="2"/>
  <c r="AO17" i="2"/>
  <c r="AQ14" i="2"/>
  <c r="AP20" i="2"/>
  <c r="AP15" i="2"/>
  <c r="AP26" i="2"/>
  <c r="AP27" i="2" s="1"/>
  <c r="AP28" i="2" s="1"/>
  <c r="AP29" i="2" s="1"/>
  <c r="AP34" i="2" s="1"/>
  <c r="AN18" i="2"/>
  <c r="AN19" i="2" s="1"/>
  <c r="AN35" i="2" s="1"/>
  <c r="AM41" i="2" s="1"/>
  <c r="AN31" i="2"/>
  <c r="AN32" i="2" s="1"/>
  <c r="AN36" i="2" s="1"/>
  <c r="AM42" i="2" s="1"/>
  <c r="AO21" i="2"/>
  <c r="AO23" i="2" s="1"/>
  <c r="AO22" i="2"/>
  <c r="AO24" i="2" l="1"/>
  <c r="AO25" i="2" s="1"/>
  <c r="AO33" i="2" s="1"/>
  <c r="AR14" i="2"/>
  <c r="AQ15" i="2"/>
  <c r="AQ20" i="2"/>
  <c r="AQ26" i="2"/>
  <c r="AQ27" i="2" s="1"/>
  <c r="AQ28" i="2" s="1"/>
  <c r="AQ29" i="2" s="1"/>
  <c r="AQ34" i="2" s="1"/>
  <c r="AO31" i="2"/>
  <c r="AO32" i="2" s="1"/>
  <c r="AO18" i="2"/>
  <c r="AP16" i="2"/>
  <c r="AP30" i="2"/>
  <c r="AP17" i="2"/>
  <c r="AO19" i="2"/>
  <c r="AP22" i="2"/>
  <c r="AP21" i="2"/>
  <c r="AP23" i="2" s="1"/>
  <c r="AO35" i="2" l="1"/>
  <c r="AN41" i="2" s="1"/>
  <c r="AO36" i="2"/>
  <c r="AN42" i="2" s="1"/>
  <c r="AQ21" i="2"/>
  <c r="AQ23" i="2" s="1"/>
  <c r="AQ22" i="2"/>
  <c r="AQ24" i="2" s="1"/>
  <c r="AQ25" i="2" s="1"/>
  <c r="AQ33" i="2" s="1"/>
  <c r="AP24" i="2"/>
  <c r="AP25" i="2" s="1"/>
  <c r="AP33" i="2" s="1"/>
  <c r="AQ17" i="2"/>
  <c r="AQ30" i="2"/>
  <c r="AQ16" i="2"/>
  <c r="AP18" i="2"/>
  <c r="AP19" i="2" s="1"/>
  <c r="AP31" i="2"/>
  <c r="AP32" i="2" s="1"/>
  <c r="AS14" i="2"/>
  <c r="AR26" i="2"/>
  <c r="AR27" i="2" s="1"/>
  <c r="AR28" i="2" s="1"/>
  <c r="AR29" i="2" s="1"/>
  <c r="AR34" i="2" s="1"/>
  <c r="AR20" i="2"/>
  <c r="AR15" i="2"/>
  <c r="AP35" i="2" l="1"/>
  <c r="AO41" i="2" s="1"/>
  <c r="AR21" i="2"/>
  <c r="AR23" i="2" s="1"/>
  <c r="AR22" i="2"/>
  <c r="AT14" i="2"/>
  <c r="AS26" i="2"/>
  <c r="AS27" i="2" s="1"/>
  <c r="AS28" i="2" s="1"/>
  <c r="AS29" i="2" s="1"/>
  <c r="AS34" i="2" s="1"/>
  <c r="AS20" i="2"/>
  <c r="AS15" i="2"/>
  <c r="AP36" i="2"/>
  <c r="AO42" i="2" s="1"/>
  <c r="AR16" i="2"/>
  <c r="AR17" i="2"/>
  <c r="AR30" i="2"/>
  <c r="AQ31" i="2"/>
  <c r="AQ32" i="2" s="1"/>
  <c r="AQ36" i="2" s="1"/>
  <c r="AP42" i="2" s="1"/>
  <c r="AQ18" i="2"/>
  <c r="AQ19" i="2" s="1"/>
  <c r="AQ35" i="2" s="1"/>
  <c r="AP41" i="2" s="1"/>
  <c r="AR24" i="2" l="1"/>
  <c r="AR25" i="2" s="1"/>
  <c r="AR33" i="2" s="1"/>
  <c r="AT15" i="2"/>
  <c r="AU14" i="2"/>
  <c r="AT26" i="2"/>
  <c r="AT27" i="2" s="1"/>
  <c r="AT28" i="2" s="1"/>
  <c r="AT29" i="2" s="1"/>
  <c r="AT34" i="2" s="1"/>
  <c r="AT20" i="2"/>
  <c r="AS30" i="2"/>
  <c r="AS16" i="2"/>
  <c r="AS17" i="2"/>
  <c r="AR31" i="2"/>
  <c r="AR32" i="2" s="1"/>
  <c r="AR36" i="2" s="1"/>
  <c r="AQ42" i="2" s="1"/>
  <c r="AR18" i="2"/>
  <c r="AR19" i="2" s="1"/>
  <c r="AS21" i="2"/>
  <c r="AS23" i="2" s="1"/>
  <c r="AS22" i="2"/>
  <c r="AS24" i="2" s="1"/>
  <c r="AS25" i="2" s="1"/>
  <c r="AS33" i="2" s="1"/>
  <c r="AR35" i="2" l="1"/>
  <c r="AQ41" i="2" s="1"/>
  <c r="AT22" i="2"/>
  <c r="AT21" i="2"/>
  <c r="AT23" i="2" s="1"/>
  <c r="AV14" i="2"/>
  <c r="AU15" i="2"/>
  <c r="AU26" i="2"/>
  <c r="AU27" i="2" s="1"/>
  <c r="AU28" i="2" s="1"/>
  <c r="AU29" i="2" s="1"/>
  <c r="AU34" i="2" s="1"/>
  <c r="AU20" i="2"/>
  <c r="AS18" i="2"/>
  <c r="AS19" i="2" s="1"/>
  <c r="AS35" i="2" s="1"/>
  <c r="AR41" i="2" s="1"/>
  <c r="AS31" i="2"/>
  <c r="AS32" i="2" s="1"/>
  <c r="AS36" i="2" s="1"/>
  <c r="AR42" i="2" s="1"/>
  <c r="AT17" i="2"/>
  <c r="AT30" i="2"/>
  <c r="AT16" i="2"/>
  <c r="AT31" i="2" l="1"/>
  <c r="AT32" i="2" s="1"/>
  <c r="AT18" i="2"/>
  <c r="AT19" i="2" s="1"/>
  <c r="AU17" i="2"/>
  <c r="AU16" i="2"/>
  <c r="AU30" i="2"/>
  <c r="AV26" i="2"/>
  <c r="AV27" i="2" s="1"/>
  <c r="AV28" i="2" s="1"/>
  <c r="AV29" i="2" s="1"/>
  <c r="AV34" i="2" s="1"/>
  <c r="AV20" i="2"/>
  <c r="AW14" i="2"/>
  <c r="AV15" i="2"/>
  <c r="AU21" i="2"/>
  <c r="AU23" i="2" s="1"/>
  <c r="AU22" i="2"/>
  <c r="AU24" i="2" s="1"/>
  <c r="AU25" i="2" s="1"/>
  <c r="AU33" i="2" s="1"/>
  <c r="AT24" i="2"/>
  <c r="AT25" i="2" s="1"/>
  <c r="AT33" i="2" s="1"/>
  <c r="AW20" i="2" l="1"/>
  <c r="AW26" i="2"/>
  <c r="AW27" i="2" s="1"/>
  <c r="AW28" i="2" s="1"/>
  <c r="AW29" i="2" s="1"/>
  <c r="AW34" i="2" s="1"/>
  <c r="AW15" i="2"/>
  <c r="AV22" i="2"/>
  <c r="AV21" i="2"/>
  <c r="AV23" i="2" s="1"/>
  <c r="AU31" i="2"/>
  <c r="AU32" i="2" s="1"/>
  <c r="AU36" i="2" s="1"/>
  <c r="AU18" i="2"/>
  <c r="AU19" i="2" s="1"/>
  <c r="AU35" i="2" s="1"/>
  <c r="AT35" i="2"/>
  <c r="AS41" i="2" s="1"/>
  <c r="AV30" i="2"/>
  <c r="AV17" i="2"/>
  <c r="AV16" i="2"/>
  <c r="AT36" i="2"/>
  <c r="AS42" i="2" s="1"/>
  <c r="AT41" i="2" l="1"/>
  <c r="AT42" i="2"/>
  <c r="AV31" i="2"/>
  <c r="AV32" i="2" s="1"/>
  <c r="AV18" i="2"/>
  <c r="AV19" i="2" s="1"/>
  <c r="AW30" i="2"/>
  <c r="AW16" i="2"/>
  <c r="AW17" i="2"/>
  <c r="AV24" i="2"/>
  <c r="AV25" i="2" s="1"/>
  <c r="AV33" i="2" s="1"/>
  <c r="AW22" i="2"/>
  <c r="AW21" i="2"/>
  <c r="AW23" i="2" s="1"/>
  <c r="AV35" i="2" l="1"/>
  <c r="AU41" i="2" s="1"/>
  <c r="AW24" i="2"/>
  <c r="AW25" i="2" s="1"/>
  <c r="AW33" i="2" s="1"/>
  <c r="AW18" i="2"/>
  <c r="AW19" i="2" s="1"/>
  <c r="AW31" i="2"/>
  <c r="AW32" i="2" s="1"/>
  <c r="AV36" i="2"/>
  <c r="AW36" i="2" l="1"/>
  <c r="AW35" i="2"/>
  <c r="AW41" i="2" s="1"/>
  <c r="AV42" i="2"/>
  <c r="AW42" i="2"/>
  <c r="AU42" i="2"/>
  <c r="Q38" i="2"/>
  <c r="P38" i="2" s="1"/>
  <c r="AV41" i="2" l="1"/>
</calcChain>
</file>

<file path=xl/sharedStrings.xml><?xml version="1.0" encoding="utf-8"?>
<sst xmlns="http://schemas.openxmlformats.org/spreadsheetml/2006/main" count="358" uniqueCount="266">
  <si>
    <t>N/mm²</t>
  </si>
  <si>
    <t>h</t>
  </si>
  <si>
    <t>mm</t>
  </si>
  <si>
    <t>b</t>
  </si>
  <si>
    <t>%</t>
  </si>
  <si>
    <t>N</t>
  </si>
  <si>
    <t>mm²</t>
  </si>
  <si>
    <r>
      <t>g</t>
    </r>
    <r>
      <rPr>
        <sz val="10"/>
        <rFont val="Technical"/>
        <family val="4"/>
      </rPr>
      <t>s</t>
    </r>
  </si>
  <si>
    <r>
      <t>g</t>
    </r>
    <r>
      <rPr>
        <sz val="10"/>
        <rFont val="Technical"/>
        <family val="4"/>
      </rPr>
      <t>c</t>
    </r>
  </si>
  <si>
    <t>Nmax</t>
  </si>
  <si>
    <t>-</t>
  </si>
  <si>
    <r>
      <t xml:space="preserve">First public release. 
 Includes </t>
    </r>
    <r>
      <rPr>
        <sz val="11"/>
        <rFont val="Symbol"/>
        <family val="1"/>
        <charset val="2"/>
      </rPr>
      <t>b</t>
    </r>
    <r>
      <rPr>
        <sz val="11"/>
        <rFont val="Tekton"/>
        <family val="2"/>
      </rPr>
      <t xml:space="preserve"> version comments</t>
    </r>
  </si>
  <si>
    <t>RCC12 v1.0</t>
  </si>
  <si>
    <r>
      <t>All advice or information from the British Cement Association and/or Reinforced Concrete Council is intended for those who will evaluate the significance and limitations of its contents and take responsibility for its use and application.  No liability (including that for negligence) for any loss resulting from such advice or information is accepted by the BCA, RCC or their subcontractors, suppliers or advisors.  Users should note that all BCA software and publications are subject to revision from time to time and should therefore ensure that they are in possession of the latest version.
This spreadsheet should be used in compliance with the accompanying publication '</t>
    </r>
    <r>
      <rPr>
        <i/>
        <sz val="11"/>
        <rFont val="Tekton"/>
        <family val="2"/>
      </rPr>
      <t>Spreadsheets for concrete design to BS 8110 &amp; EC2'</t>
    </r>
    <r>
      <rPr>
        <sz val="11"/>
        <rFont val="Tekton"/>
        <family val="2"/>
      </rPr>
      <t xml:space="preserve"> available from British Cement Association, Telford Avenue, Crowthorne, Berkshire RG45 6YS. </t>
    </r>
  </si>
  <si>
    <t>Projekt</t>
  </si>
  <si>
    <r>
      <t>Projektant:</t>
    </r>
    <r>
      <rPr>
        <b/>
        <sz val="11"/>
        <color indexed="12"/>
        <rFont val="Gill Sans"/>
        <charset val="238"/>
      </rPr>
      <t xml:space="preserve"> </t>
    </r>
    <r>
      <rPr>
        <b/>
        <sz val="10"/>
        <color indexed="12"/>
        <rFont val="Gill Sans"/>
        <charset val="238"/>
      </rPr>
      <t>Chodor-Projekt</t>
    </r>
    <r>
      <rPr>
        <b/>
        <sz val="11"/>
        <color indexed="12"/>
        <rFont val="Gill Sans"/>
        <charset val="238"/>
      </rPr>
      <t xml:space="preserve"> </t>
    </r>
    <r>
      <rPr>
        <sz val="10"/>
        <color indexed="12"/>
        <rFont val="Gill Sans"/>
        <charset val="238"/>
      </rPr>
      <t>www.chodor-projekt.net</t>
    </r>
  </si>
  <si>
    <t>Klient</t>
  </si>
  <si>
    <t>Opracował</t>
  </si>
  <si>
    <t>Data</t>
  </si>
  <si>
    <t>Strona</t>
  </si>
  <si>
    <t>Lokalizacja</t>
  </si>
  <si>
    <t>LCH</t>
  </si>
  <si>
    <t>Zlecenie</t>
  </si>
  <si>
    <t>MK</t>
  </si>
  <si>
    <t>MATERIAŁY</t>
  </si>
  <si>
    <r>
      <t>f</t>
    </r>
    <r>
      <rPr>
        <vertAlign val="subscript"/>
        <sz val="12"/>
        <rFont val="Tekton"/>
        <charset val="238"/>
      </rPr>
      <t>ck</t>
    </r>
  </si>
  <si>
    <t>PRZEKRÓJ</t>
  </si>
  <si>
    <t>ZBROJENIE</t>
  </si>
  <si>
    <r>
      <t>górne Ø</t>
    </r>
    <r>
      <rPr>
        <vertAlign val="subscript"/>
        <sz val="12"/>
        <rFont val="Tekton"/>
        <charset val="238"/>
      </rPr>
      <t>u</t>
    </r>
  </si>
  <si>
    <r>
      <t>dolne Ø</t>
    </r>
    <r>
      <rPr>
        <vertAlign val="subscript"/>
        <sz val="12"/>
        <rFont val="Tekton"/>
        <charset val="238"/>
      </rPr>
      <t>l</t>
    </r>
  </si>
  <si>
    <t>Otulenie</t>
  </si>
  <si>
    <r>
      <rPr>
        <sz val="11"/>
        <rFont val="Tekton"/>
        <charset val="238"/>
      </rPr>
      <t>górne</t>
    </r>
    <r>
      <rPr>
        <sz val="12"/>
        <rFont val="Tekton"/>
        <family val="2"/>
      </rPr>
      <t xml:space="preserve"> c</t>
    </r>
    <r>
      <rPr>
        <vertAlign val="subscript"/>
        <sz val="12"/>
        <rFont val="Tekton"/>
        <charset val="238"/>
      </rPr>
      <t>u</t>
    </r>
  </si>
  <si>
    <r>
      <rPr>
        <sz val="11"/>
        <rFont val="Tekton"/>
        <charset val="238"/>
      </rPr>
      <t>dolne</t>
    </r>
    <r>
      <rPr>
        <sz val="12"/>
        <rFont val="Tekton"/>
        <family val="2"/>
      </rPr>
      <t xml:space="preserve"> c</t>
    </r>
    <r>
      <rPr>
        <vertAlign val="subscript"/>
        <sz val="12"/>
        <rFont val="Tekton"/>
        <charset val="238"/>
      </rPr>
      <t>l</t>
    </r>
  </si>
  <si>
    <r>
      <rPr>
        <sz val="11"/>
        <rFont val="Tekton"/>
        <charset val="238"/>
      </rPr>
      <t>boczne</t>
    </r>
    <r>
      <rPr>
        <sz val="12"/>
        <rFont val="Tekton"/>
        <family val="2"/>
      </rPr>
      <t xml:space="preserve"> c</t>
    </r>
    <r>
      <rPr>
        <vertAlign val="subscript"/>
        <sz val="12"/>
        <rFont val="Tekton"/>
        <charset val="238"/>
      </rPr>
      <t>r</t>
    </r>
  </si>
  <si>
    <t>(do pobocznicy pręta)</t>
  </si>
  <si>
    <t>Przypadek</t>
  </si>
  <si>
    <r>
      <t>M</t>
    </r>
    <r>
      <rPr>
        <vertAlign val="subscript"/>
        <sz val="10"/>
        <color indexed="17"/>
        <rFont val="Marker"/>
        <family val="2"/>
      </rPr>
      <t>y</t>
    </r>
  </si>
  <si>
    <t>Pręt Ø</t>
  </si>
  <si>
    <t>Liczba</t>
  </si>
  <si>
    <t>Pole</t>
  </si>
  <si>
    <t>http://chodor-projekt.net/encyclopedia/nowy-algorytm-projektowania-zelbetu/</t>
  </si>
  <si>
    <t>Dźwignie:</t>
  </si>
  <si>
    <t>Graniczne położenia osi obojętnej x w przypadku:</t>
  </si>
  <si>
    <t>czystego zginania (Fc=0)</t>
  </si>
  <si>
    <r>
      <t>x</t>
    </r>
    <r>
      <rPr>
        <vertAlign val="subscript"/>
        <sz val="10"/>
        <rFont val="Arial"/>
        <family val="2"/>
      </rPr>
      <t>M</t>
    </r>
    <r>
      <rPr>
        <sz val="10"/>
        <rFont val="Arial"/>
        <family val="2"/>
        <charset val="238"/>
      </rPr>
      <t>=(A</t>
    </r>
    <r>
      <rPr>
        <vertAlign val="subscript"/>
        <sz val="10"/>
        <rFont val="Arial"/>
        <family val="2"/>
      </rPr>
      <t>sc</t>
    </r>
    <r>
      <rPr>
        <sz val="10"/>
        <rFont val="Arial"/>
        <family val="2"/>
        <charset val="238"/>
      </rPr>
      <t>*d</t>
    </r>
    <r>
      <rPr>
        <vertAlign val="subscript"/>
        <sz val="10"/>
        <rFont val="Arial"/>
        <family val="2"/>
      </rPr>
      <t>cu</t>
    </r>
    <r>
      <rPr>
        <sz val="10"/>
        <rFont val="Arial"/>
        <family val="2"/>
        <charset val="238"/>
      </rPr>
      <t>+A</t>
    </r>
    <r>
      <rPr>
        <vertAlign val="subscript"/>
        <sz val="10"/>
        <rFont val="Arial"/>
        <family val="2"/>
      </rPr>
      <t>st</t>
    </r>
    <r>
      <rPr>
        <sz val="10"/>
        <rFont val="Arial"/>
        <family val="2"/>
        <charset val="238"/>
      </rPr>
      <t>*d</t>
    </r>
    <r>
      <rPr>
        <vertAlign val="subscript"/>
        <sz val="10"/>
        <rFont val="Arial"/>
        <family val="2"/>
      </rPr>
      <t>tu</t>
    </r>
    <r>
      <rPr>
        <sz val="10"/>
        <rFont val="Arial"/>
        <family val="2"/>
        <charset val="238"/>
      </rPr>
      <t>)/(A</t>
    </r>
    <r>
      <rPr>
        <vertAlign val="subscript"/>
        <sz val="10"/>
        <rFont val="Arial"/>
        <family val="2"/>
      </rPr>
      <t>sc</t>
    </r>
    <r>
      <rPr>
        <sz val="10"/>
        <rFont val="Arial"/>
        <family val="2"/>
        <charset val="238"/>
      </rPr>
      <t>+A</t>
    </r>
    <r>
      <rPr>
        <vertAlign val="subscript"/>
        <sz val="10"/>
        <rFont val="Arial"/>
        <family val="2"/>
      </rPr>
      <t>st</t>
    </r>
    <r>
      <rPr>
        <sz val="10"/>
        <rFont val="Arial"/>
        <family val="2"/>
        <charset val="238"/>
      </rPr>
      <t>)</t>
    </r>
  </si>
  <si>
    <t>pełnego ściskania</t>
  </si>
  <si>
    <t>pełnego rozciągania</t>
  </si>
  <si>
    <r>
      <t>x</t>
    </r>
    <r>
      <rPr>
        <vertAlign val="subscript"/>
        <sz val="10"/>
        <rFont val="Arial"/>
        <family val="2"/>
      </rPr>
      <t>T</t>
    </r>
    <r>
      <rPr>
        <sz val="10"/>
        <rFont val="Arial"/>
        <family val="2"/>
        <charset val="238"/>
      </rPr>
      <t>=min{f</t>
    </r>
    <r>
      <rPr>
        <vertAlign val="subscript"/>
        <sz val="10"/>
        <rFont val="Arial"/>
        <family val="2"/>
      </rPr>
      <t>yd</t>
    </r>
    <r>
      <rPr>
        <sz val="10"/>
        <rFont val="Arial"/>
        <family val="2"/>
        <charset val="238"/>
      </rPr>
      <t>*A</t>
    </r>
    <r>
      <rPr>
        <vertAlign val="subscript"/>
        <sz val="10"/>
        <rFont val="Arial"/>
        <family val="2"/>
      </rPr>
      <t>sc</t>
    </r>
    <r>
      <rPr>
        <sz val="10"/>
        <rFont val="Arial"/>
        <family val="2"/>
        <charset val="238"/>
      </rPr>
      <t>/β</t>
    </r>
    <r>
      <rPr>
        <vertAlign val="subscript"/>
        <sz val="10"/>
        <rFont val="Arial"/>
        <family val="2"/>
      </rPr>
      <t xml:space="preserve">4 </t>
    </r>
    <r>
      <rPr>
        <sz val="10"/>
        <rFont val="Arial"/>
        <family val="2"/>
        <charset val="238"/>
      </rPr>
      <t>; f</t>
    </r>
    <r>
      <rPr>
        <vertAlign val="subscript"/>
        <sz val="10"/>
        <rFont val="Arial"/>
        <family val="2"/>
      </rPr>
      <t>yd</t>
    </r>
    <r>
      <rPr>
        <sz val="10"/>
        <rFont val="Arial"/>
        <family val="2"/>
        <charset val="238"/>
      </rPr>
      <t>*A</t>
    </r>
    <r>
      <rPr>
        <vertAlign val="subscript"/>
        <sz val="10"/>
        <rFont val="Arial"/>
        <family val="2"/>
      </rPr>
      <t>st</t>
    </r>
    <r>
      <rPr>
        <sz val="10"/>
        <rFont val="Arial"/>
        <family val="2"/>
        <charset val="238"/>
      </rPr>
      <t>/β</t>
    </r>
    <r>
      <rPr>
        <vertAlign val="subscript"/>
        <sz val="10"/>
        <rFont val="Arial"/>
        <family val="2"/>
      </rPr>
      <t>3</t>
    </r>
    <r>
      <rPr>
        <sz val="10"/>
        <rFont val="Arial"/>
        <family val="2"/>
        <charset val="238"/>
      </rPr>
      <t>}/1000</t>
    </r>
  </si>
  <si>
    <r>
      <t>β</t>
    </r>
    <r>
      <rPr>
        <vertAlign val="subscript"/>
        <sz val="12"/>
        <rFont val="Tekton"/>
        <charset val="238"/>
      </rPr>
      <t>4</t>
    </r>
    <r>
      <rPr>
        <sz val="12"/>
        <rFont val="Tekton"/>
        <family val="2"/>
      </rPr>
      <t>=1-β</t>
    </r>
    <r>
      <rPr>
        <vertAlign val="subscript"/>
        <sz val="12"/>
        <rFont val="Tekton"/>
        <charset val="238"/>
      </rPr>
      <t>3=</t>
    </r>
  </si>
  <si>
    <r>
      <t>a</t>
    </r>
    <r>
      <rPr>
        <vertAlign val="subscript"/>
        <sz val="11"/>
        <rFont val="Tekton"/>
        <charset val="238"/>
      </rPr>
      <t>cu</t>
    </r>
    <r>
      <rPr>
        <sz val="11"/>
        <rFont val="Tekton"/>
        <charset val="238"/>
      </rPr>
      <t xml:space="preserve"> = c</t>
    </r>
    <r>
      <rPr>
        <vertAlign val="subscript"/>
        <sz val="11"/>
        <rFont val="Tekton"/>
        <family val="2"/>
      </rPr>
      <t>u</t>
    </r>
    <r>
      <rPr>
        <sz val="11"/>
        <rFont val="Tekton"/>
        <family val="2"/>
      </rPr>
      <t>+Ø</t>
    </r>
    <r>
      <rPr>
        <vertAlign val="subscript"/>
        <sz val="11"/>
        <rFont val="Tekton"/>
        <family val="2"/>
      </rPr>
      <t>u</t>
    </r>
    <r>
      <rPr>
        <sz val="11"/>
        <rFont val="Tekton"/>
        <family val="2"/>
      </rPr>
      <t>/2 =</t>
    </r>
  </si>
  <si>
    <r>
      <rPr>
        <sz val="10"/>
        <rFont val="Tekton"/>
        <charset val="238"/>
      </rPr>
      <t xml:space="preserve"> lub</t>
    </r>
    <r>
      <rPr>
        <sz val="11"/>
        <rFont val="Tekton"/>
        <family val="2"/>
      </rPr>
      <t xml:space="preserve"> = a</t>
    </r>
    <r>
      <rPr>
        <vertAlign val="subscript"/>
        <sz val="11"/>
        <rFont val="Tekton"/>
        <charset val="238"/>
      </rPr>
      <t xml:space="preserve">cl </t>
    </r>
    <r>
      <rPr>
        <sz val="11"/>
        <rFont val="Tekton"/>
        <family val="2"/>
      </rPr>
      <t>= c</t>
    </r>
    <r>
      <rPr>
        <vertAlign val="subscript"/>
        <sz val="11"/>
        <rFont val="Tekton"/>
        <charset val="238"/>
      </rPr>
      <t>u</t>
    </r>
    <r>
      <rPr>
        <sz val="11"/>
        <rFont val="Tekton"/>
        <family val="2"/>
      </rPr>
      <t>+Ø</t>
    </r>
    <r>
      <rPr>
        <vertAlign val="subscript"/>
        <sz val="11"/>
        <rFont val="Tekton"/>
        <charset val="238"/>
      </rPr>
      <t>l</t>
    </r>
    <r>
      <rPr>
        <sz val="11"/>
        <rFont val="Tekton"/>
        <family val="2"/>
      </rPr>
      <t>/2=</t>
    </r>
  </si>
  <si>
    <r>
      <t>a</t>
    </r>
    <r>
      <rPr>
        <vertAlign val="subscript"/>
        <sz val="11"/>
        <rFont val="Tekton"/>
        <charset val="238"/>
      </rPr>
      <t>tu</t>
    </r>
    <r>
      <rPr>
        <sz val="11"/>
        <rFont val="Tekton"/>
        <charset val="238"/>
      </rPr>
      <t xml:space="preserve"> = c</t>
    </r>
    <r>
      <rPr>
        <vertAlign val="subscript"/>
        <sz val="11"/>
        <rFont val="Tekton"/>
        <family val="2"/>
      </rPr>
      <t>u</t>
    </r>
    <r>
      <rPr>
        <sz val="11"/>
        <rFont val="Tekton"/>
        <family val="2"/>
      </rPr>
      <t>+Ø</t>
    </r>
    <r>
      <rPr>
        <vertAlign val="subscript"/>
        <sz val="11"/>
        <rFont val="Tekton"/>
        <family val="2"/>
      </rPr>
      <t>u</t>
    </r>
    <r>
      <rPr>
        <sz val="11"/>
        <rFont val="Tekton"/>
        <family val="2"/>
      </rPr>
      <t>/2 =</t>
    </r>
  </si>
  <si>
    <r>
      <t>d</t>
    </r>
    <r>
      <rPr>
        <vertAlign val="subscript"/>
        <sz val="11"/>
        <rFont val="Tekton"/>
        <charset val="238"/>
      </rPr>
      <t>tu</t>
    </r>
    <r>
      <rPr>
        <sz val="11"/>
        <rFont val="Tekton"/>
        <charset val="238"/>
      </rPr>
      <t xml:space="preserve"> = h-a</t>
    </r>
    <r>
      <rPr>
        <vertAlign val="subscript"/>
        <sz val="11"/>
        <rFont val="Tekton"/>
        <charset val="238"/>
      </rPr>
      <t>tu</t>
    </r>
    <r>
      <rPr>
        <sz val="11"/>
        <rFont val="Tekton"/>
        <family val="2"/>
      </rPr>
      <t xml:space="preserve"> =</t>
    </r>
  </si>
  <si>
    <r>
      <rPr>
        <sz val="10"/>
        <rFont val="Tekton"/>
        <charset val="238"/>
      </rPr>
      <t xml:space="preserve"> lub</t>
    </r>
    <r>
      <rPr>
        <sz val="11"/>
        <rFont val="Tekton"/>
        <family val="2"/>
      </rPr>
      <t xml:space="preserve"> = a</t>
    </r>
    <r>
      <rPr>
        <vertAlign val="subscript"/>
        <sz val="11"/>
        <rFont val="Tekton"/>
        <charset val="238"/>
      </rPr>
      <t xml:space="preserve">tl </t>
    </r>
    <r>
      <rPr>
        <sz val="11"/>
        <rFont val="Tekton"/>
        <family val="2"/>
      </rPr>
      <t>= c</t>
    </r>
    <r>
      <rPr>
        <vertAlign val="subscript"/>
        <sz val="11"/>
        <rFont val="Tekton"/>
        <charset val="238"/>
      </rPr>
      <t>l</t>
    </r>
    <r>
      <rPr>
        <sz val="11"/>
        <rFont val="Tekton"/>
        <family val="2"/>
      </rPr>
      <t>+Ø</t>
    </r>
    <r>
      <rPr>
        <vertAlign val="subscript"/>
        <sz val="11"/>
        <rFont val="Tekton"/>
        <charset val="238"/>
      </rPr>
      <t>l</t>
    </r>
    <r>
      <rPr>
        <sz val="11"/>
        <rFont val="Tekton"/>
        <family val="2"/>
      </rPr>
      <t>/2=</t>
    </r>
  </si>
  <si>
    <r>
      <t>d</t>
    </r>
    <r>
      <rPr>
        <vertAlign val="subscript"/>
        <sz val="11"/>
        <rFont val="Tekton"/>
        <charset val="238"/>
      </rPr>
      <t>tl</t>
    </r>
    <r>
      <rPr>
        <sz val="11"/>
        <rFont val="Tekton"/>
        <charset val="238"/>
      </rPr>
      <t xml:space="preserve"> = h-a</t>
    </r>
    <r>
      <rPr>
        <vertAlign val="subscript"/>
        <sz val="11"/>
        <rFont val="Tekton"/>
        <charset val="238"/>
      </rPr>
      <t>tl</t>
    </r>
    <r>
      <rPr>
        <sz val="11"/>
        <rFont val="Tekton"/>
        <family val="2"/>
      </rPr>
      <t xml:space="preserve"> =</t>
    </r>
  </si>
  <si>
    <r>
      <t>f</t>
    </r>
    <r>
      <rPr>
        <vertAlign val="subscript"/>
        <sz val="12"/>
        <rFont val="Tekton"/>
        <charset val="238"/>
      </rPr>
      <t>yk</t>
    </r>
  </si>
  <si>
    <r>
      <t>d</t>
    </r>
    <r>
      <rPr>
        <vertAlign val="subscript"/>
        <sz val="11"/>
        <rFont val="Tekton"/>
        <charset val="238"/>
      </rPr>
      <t>cu</t>
    </r>
    <r>
      <rPr>
        <sz val="11"/>
        <rFont val="Tekton"/>
        <charset val="238"/>
      </rPr>
      <t xml:space="preserve"> = a</t>
    </r>
    <r>
      <rPr>
        <vertAlign val="subscript"/>
        <sz val="11"/>
        <rFont val="Tekton"/>
        <charset val="238"/>
      </rPr>
      <t>cu</t>
    </r>
    <r>
      <rPr>
        <sz val="11"/>
        <rFont val="Tekton"/>
        <family val="2"/>
      </rPr>
      <t xml:space="preserve"> =</t>
    </r>
  </si>
  <si>
    <r>
      <t>d</t>
    </r>
    <r>
      <rPr>
        <vertAlign val="subscript"/>
        <sz val="11"/>
        <rFont val="Tekton"/>
        <charset val="238"/>
      </rPr>
      <t>cl</t>
    </r>
    <r>
      <rPr>
        <sz val="11"/>
        <rFont val="Tekton"/>
        <charset val="238"/>
      </rPr>
      <t xml:space="preserve"> = a</t>
    </r>
    <r>
      <rPr>
        <vertAlign val="subscript"/>
        <sz val="11"/>
        <rFont val="Tekton"/>
        <charset val="238"/>
      </rPr>
      <t>cl</t>
    </r>
    <r>
      <rPr>
        <sz val="11"/>
        <rFont val="Tekton"/>
        <family val="2"/>
      </rPr>
      <t xml:space="preserve"> =</t>
    </r>
  </si>
  <si>
    <t>Zbrojenie ściskane ( c )</t>
  </si>
  <si>
    <t>Zbrojenie rozciągane ( t )</t>
  </si>
  <si>
    <t>maksymalny</t>
  </si>
  <si>
    <t>N2=</t>
  </si>
  <si>
    <t xml:space="preserve">Przyrost= </t>
  </si>
  <si>
    <t>x=0</t>
  </si>
  <si>
    <r>
      <t>A</t>
    </r>
    <r>
      <rPr>
        <vertAlign val="subscript"/>
        <sz val="12"/>
        <rFont val="Tekton"/>
        <charset val="238"/>
      </rPr>
      <t>sc</t>
    </r>
    <r>
      <rPr>
        <sz val="12"/>
        <rFont val="Tekton"/>
        <family val="2"/>
      </rPr>
      <t xml:space="preserve"> =</t>
    </r>
  </si>
  <si>
    <r>
      <t>A</t>
    </r>
    <r>
      <rPr>
        <vertAlign val="subscript"/>
        <sz val="12"/>
        <rFont val="Tekton"/>
        <charset val="238"/>
      </rPr>
      <t>st</t>
    </r>
    <r>
      <rPr>
        <sz val="12"/>
        <rFont val="Tekton"/>
        <family val="2"/>
      </rPr>
      <t xml:space="preserve"> =</t>
    </r>
  </si>
  <si>
    <r>
      <t>M</t>
    </r>
    <r>
      <rPr>
        <vertAlign val="subscript"/>
        <sz val="12"/>
        <rFont val="Tekton"/>
        <charset val="238"/>
      </rPr>
      <t>Rd</t>
    </r>
  </si>
  <si>
    <t>Min M</t>
  </si>
  <si>
    <r>
      <t>N</t>
    </r>
    <r>
      <rPr>
        <vertAlign val="subscript"/>
        <sz val="12"/>
        <rFont val="Tekton"/>
        <charset val="238"/>
      </rPr>
      <t>i+1</t>
    </r>
    <r>
      <rPr>
        <sz val="12"/>
        <rFont val="Tekton"/>
        <family val="2"/>
      </rPr>
      <t>-N</t>
    </r>
    <r>
      <rPr>
        <vertAlign val="subscript"/>
        <sz val="12"/>
        <rFont val="Tekton"/>
        <charset val="238"/>
      </rPr>
      <t>i</t>
    </r>
  </si>
  <si>
    <t>Przyrost N</t>
  </si>
  <si>
    <r>
      <t>M</t>
    </r>
    <r>
      <rPr>
        <vertAlign val="subscript"/>
        <sz val="12"/>
        <rFont val="Tekton"/>
        <charset val="238"/>
      </rPr>
      <t>i+1</t>
    </r>
    <r>
      <rPr>
        <sz val="12"/>
        <rFont val="Tekton"/>
        <family val="2"/>
      </rPr>
      <t>-M</t>
    </r>
    <r>
      <rPr>
        <vertAlign val="subscript"/>
        <sz val="12"/>
        <rFont val="Tekton"/>
        <charset val="238"/>
      </rPr>
      <t>i</t>
    </r>
  </si>
  <si>
    <t>Przyrost M</t>
  </si>
  <si>
    <t>(-)</t>
  </si>
  <si>
    <r>
      <t>N</t>
    </r>
    <r>
      <rPr>
        <vertAlign val="subscript"/>
        <sz val="12"/>
        <rFont val="Tekton"/>
        <charset val="238"/>
      </rPr>
      <t>Rd</t>
    </r>
  </si>
  <si>
    <t>kNm</t>
  </si>
  <si>
    <t>kN</t>
  </si>
  <si>
    <t>Znaczniki</t>
  </si>
  <si>
    <t>Nmm</t>
  </si>
  <si>
    <t>Wysokość strefy ściskanej</t>
  </si>
  <si>
    <r>
      <t>f</t>
    </r>
    <r>
      <rPr>
        <vertAlign val="subscript"/>
        <sz val="12"/>
        <rFont val="Arial"/>
        <family val="2"/>
        <charset val="238"/>
      </rPr>
      <t>cd</t>
    </r>
    <r>
      <rPr>
        <sz val="12"/>
        <rFont val="Arial"/>
        <family val="2"/>
        <charset val="238"/>
      </rPr>
      <t>=</t>
    </r>
  </si>
  <si>
    <r>
      <t>f</t>
    </r>
    <r>
      <rPr>
        <vertAlign val="subscript"/>
        <sz val="12"/>
        <rFont val="Arial"/>
        <family val="2"/>
        <charset val="238"/>
      </rPr>
      <t>yd</t>
    </r>
    <r>
      <rPr>
        <sz val="12"/>
        <rFont val="Arial"/>
        <family val="2"/>
        <charset val="238"/>
      </rPr>
      <t>=</t>
    </r>
  </si>
  <si>
    <r>
      <t>f</t>
    </r>
    <r>
      <rPr>
        <vertAlign val="subscript"/>
        <sz val="12"/>
        <rFont val="Arial"/>
        <family val="2"/>
        <charset val="238"/>
      </rPr>
      <t>ynet</t>
    </r>
    <r>
      <rPr>
        <sz val="12"/>
        <rFont val="Arial"/>
        <family val="2"/>
        <charset val="238"/>
      </rPr>
      <t>=</t>
    </r>
  </si>
  <si>
    <r>
      <t>F</t>
    </r>
    <r>
      <rPr>
        <vertAlign val="subscript"/>
        <sz val="12"/>
        <rFont val="Arial"/>
        <family val="2"/>
        <charset val="238"/>
      </rPr>
      <t>cA</t>
    </r>
    <r>
      <rPr>
        <sz val="12"/>
        <rFont val="Arial"/>
        <family val="2"/>
        <charset val="238"/>
      </rPr>
      <t>=</t>
    </r>
  </si>
  <si>
    <r>
      <t>f</t>
    </r>
    <r>
      <rPr>
        <vertAlign val="subscript"/>
        <sz val="12"/>
        <rFont val="Arial"/>
        <family val="2"/>
        <charset val="238"/>
      </rPr>
      <t>ck</t>
    </r>
    <r>
      <rPr>
        <sz val="12"/>
        <rFont val="Arial"/>
        <family val="2"/>
        <charset val="238"/>
      </rPr>
      <t>/γ</t>
    </r>
    <r>
      <rPr>
        <vertAlign val="subscript"/>
        <sz val="12"/>
        <rFont val="Arial"/>
        <family val="2"/>
        <charset val="238"/>
      </rPr>
      <t>c</t>
    </r>
    <r>
      <rPr>
        <sz val="12"/>
        <rFont val="Arial"/>
        <family val="2"/>
        <charset val="238"/>
      </rPr>
      <t xml:space="preserve"> </t>
    </r>
  </si>
  <si>
    <r>
      <t>f</t>
    </r>
    <r>
      <rPr>
        <vertAlign val="subscript"/>
        <sz val="12"/>
        <rFont val="Arial"/>
        <family val="2"/>
        <charset val="238"/>
      </rPr>
      <t>yk</t>
    </r>
    <r>
      <rPr>
        <sz val="12"/>
        <rFont val="Arial"/>
        <family val="2"/>
        <charset val="238"/>
      </rPr>
      <t>/γ</t>
    </r>
    <r>
      <rPr>
        <vertAlign val="subscript"/>
        <sz val="12"/>
        <rFont val="Arial"/>
        <family val="2"/>
        <charset val="238"/>
      </rPr>
      <t>s</t>
    </r>
    <r>
      <rPr>
        <sz val="12"/>
        <rFont val="Arial"/>
        <family val="2"/>
        <charset val="238"/>
      </rPr>
      <t xml:space="preserve"> </t>
    </r>
  </si>
  <si>
    <r>
      <t>f</t>
    </r>
    <r>
      <rPr>
        <vertAlign val="subscript"/>
        <sz val="12"/>
        <rFont val="Arial"/>
        <family val="2"/>
        <charset val="238"/>
      </rPr>
      <t xml:space="preserve">yd </t>
    </r>
    <r>
      <rPr>
        <sz val="12"/>
        <rFont val="Arial"/>
        <family val="2"/>
        <charset val="238"/>
      </rPr>
      <t>- f</t>
    </r>
    <r>
      <rPr>
        <vertAlign val="subscript"/>
        <sz val="12"/>
        <rFont val="Arial"/>
        <family val="2"/>
        <charset val="238"/>
      </rPr>
      <t>cd</t>
    </r>
  </si>
  <si>
    <r>
      <t>b·h·f</t>
    </r>
    <r>
      <rPr>
        <vertAlign val="subscript"/>
        <sz val="12"/>
        <rFont val="Arial"/>
        <family val="2"/>
        <charset val="238"/>
      </rPr>
      <t>cd</t>
    </r>
  </si>
  <si>
    <t>wg EC2</t>
  </si>
  <si>
    <r>
      <t>E</t>
    </r>
    <r>
      <rPr>
        <vertAlign val="subscript"/>
        <sz val="12"/>
        <rFont val="Arial"/>
        <family val="2"/>
        <charset val="238"/>
      </rPr>
      <t>s</t>
    </r>
  </si>
  <si>
    <r>
      <t>ε</t>
    </r>
    <r>
      <rPr>
        <vertAlign val="subscript"/>
        <sz val="12"/>
        <rFont val="Arial"/>
        <family val="2"/>
        <charset val="238"/>
      </rPr>
      <t>cu2</t>
    </r>
  </si>
  <si>
    <r>
      <t>x</t>
    </r>
    <r>
      <rPr>
        <vertAlign val="subscript"/>
        <sz val="10"/>
        <rFont val="Arial"/>
        <family val="2"/>
        <charset val="238"/>
      </rPr>
      <t>max</t>
    </r>
    <r>
      <rPr>
        <sz val="10"/>
        <rFont val="Arial"/>
        <family val="2"/>
        <charset val="238"/>
      </rPr>
      <t>=min{f</t>
    </r>
    <r>
      <rPr>
        <vertAlign val="subscript"/>
        <sz val="10"/>
        <rFont val="Arial"/>
        <family val="2"/>
        <charset val="238"/>
      </rPr>
      <t>ymax</t>
    </r>
    <r>
      <rPr>
        <sz val="10"/>
        <rFont val="Arial"/>
        <family val="2"/>
        <charset val="238"/>
      </rPr>
      <t>*d</t>
    </r>
    <r>
      <rPr>
        <vertAlign val="subscript"/>
        <sz val="10"/>
        <rFont val="Arial"/>
        <family val="2"/>
        <charset val="238"/>
      </rPr>
      <t>tl</t>
    </r>
    <r>
      <rPr>
        <sz val="10"/>
        <rFont val="Arial"/>
        <family val="2"/>
        <charset val="238"/>
      </rPr>
      <t>/(f</t>
    </r>
    <r>
      <rPr>
        <vertAlign val="subscript"/>
        <sz val="10"/>
        <rFont val="Arial"/>
        <family val="2"/>
        <charset val="238"/>
      </rPr>
      <t>ymax</t>
    </r>
    <r>
      <rPr>
        <sz val="10"/>
        <rFont val="Arial"/>
        <family val="2"/>
        <charset val="238"/>
      </rPr>
      <t>-f</t>
    </r>
    <r>
      <rPr>
        <vertAlign val="subscript"/>
        <sz val="10"/>
        <rFont val="Arial"/>
        <family val="2"/>
        <charset val="238"/>
      </rPr>
      <t>ynet</t>
    </r>
    <r>
      <rPr>
        <sz val="10"/>
        <rFont val="Arial"/>
        <family val="2"/>
        <charset val="238"/>
      </rPr>
      <t>) ; - f</t>
    </r>
    <r>
      <rPr>
        <vertAlign val="subscript"/>
        <sz val="10"/>
        <rFont val="Arial"/>
        <family val="2"/>
        <charset val="238"/>
      </rPr>
      <t>ymax</t>
    </r>
    <r>
      <rPr>
        <sz val="10"/>
        <rFont val="Arial"/>
        <family val="2"/>
        <charset val="238"/>
      </rPr>
      <t xml:space="preserve"> *d</t>
    </r>
    <r>
      <rPr>
        <vertAlign val="subscript"/>
        <sz val="10"/>
        <rFont val="Arial"/>
        <family val="2"/>
        <charset val="238"/>
      </rPr>
      <t>tl</t>
    </r>
    <r>
      <rPr>
        <sz val="10"/>
        <rFont val="Arial"/>
        <family val="2"/>
        <charset val="238"/>
      </rPr>
      <t>/β</t>
    </r>
    <r>
      <rPr>
        <vertAlign val="subscript"/>
        <sz val="10"/>
        <rFont val="Arial"/>
        <family val="2"/>
        <charset val="238"/>
      </rPr>
      <t>1</t>
    </r>
    <r>
      <rPr>
        <sz val="10"/>
        <rFont val="Arial"/>
        <family val="2"/>
        <charset val="238"/>
      </rPr>
      <t>*f</t>
    </r>
    <r>
      <rPr>
        <vertAlign val="subscript"/>
        <sz val="10"/>
        <rFont val="Arial"/>
        <family val="2"/>
        <charset val="238"/>
      </rPr>
      <t>ynet</t>
    </r>
    <r>
      <rPr>
        <sz val="10"/>
        <rFont val="Arial"/>
        <family val="2"/>
        <charset val="238"/>
      </rPr>
      <t xml:space="preserve"> *A</t>
    </r>
    <r>
      <rPr>
        <vertAlign val="subscript"/>
        <sz val="10"/>
        <rFont val="Arial"/>
        <family val="2"/>
        <charset val="238"/>
      </rPr>
      <t>sc</t>
    </r>
    <r>
      <rPr>
        <sz val="10"/>
        <rFont val="Arial"/>
        <family val="2"/>
        <charset val="238"/>
      </rPr>
      <t>/A</t>
    </r>
    <r>
      <rPr>
        <vertAlign val="subscript"/>
        <sz val="10"/>
        <rFont val="Arial"/>
        <family val="2"/>
        <charset val="238"/>
      </rPr>
      <t>st</t>
    </r>
    <r>
      <rPr>
        <sz val="10"/>
        <rFont val="Arial"/>
        <family val="2"/>
        <charset val="238"/>
      </rPr>
      <t xml:space="preserve"> +f</t>
    </r>
    <r>
      <rPr>
        <vertAlign val="subscript"/>
        <sz val="10"/>
        <rFont val="Arial"/>
        <family val="2"/>
        <charset val="238"/>
      </rPr>
      <t>cd</t>
    </r>
    <r>
      <rPr>
        <sz val="10"/>
        <rFont val="Arial"/>
        <family val="2"/>
        <charset val="238"/>
      </rPr>
      <t>-f</t>
    </r>
    <r>
      <rPr>
        <vertAlign val="subscript"/>
        <sz val="10"/>
        <rFont val="Arial"/>
        <family val="2"/>
        <charset val="238"/>
      </rPr>
      <t>ymax</t>
    </r>
    <r>
      <rPr>
        <sz val="10"/>
        <rFont val="Arial"/>
        <family val="2"/>
        <charset val="238"/>
      </rPr>
      <t>}</t>
    </r>
  </si>
  <si>
    <t>Wytrz. obl. beton</t>
  </si>
  <si>
    <t>Wytrz. obl. stal</t>
  </si>
  <si>
    <t>Wytrz. obl. reduk. stal</t>
  </si>
  <si>
    <t>Wytrz. max stal</t>
  </si>
  <si>
    <t>Odkszt max beton</t>
  </si>
  <si>
    <t>Nosność przekroju beton</t>
  </si>
  <si>
    <t>Względna wysokość strefy</t>
  </si>
  <si>
    <t>Siła beton (jeśli x&lt;h)</t>
  </si>
  <si>
    <t>Siła beton nadmiar (jeśli x&gt;h)</t>
  </si>
  <si>
    <t>Siła beton</t>
  </si>
  <si>
    <t>Napr. stal rozc., dół</t>
  </si>
  <si>
    <t>Odkszt stal ścisk, góra</t>
  </si>
  <si>
    <t>Odkszt stal rozciąg., dół</t>
  </si>
  <si>
    <t>Siła stal ścisk</t>
  </si>
  <si>
    <t>Siła stal rozc</t>
  </si>
  <si>
    <t>Moment beton  (jeśli x&lt;h)</t>
  </si>
  <si>
    <t>Moment stal ścisk.</t>
  </si>
  <si>
    <t>Moment stal rozc.</t>
  </si>
  <si>
    <t>ΔN =</t>
  </si>
  <si>
    <t>ΔM =</t>
  </si>
  <si>
    <t>Siła beton nieliniowa</t>
  </si>
  <si>
    <t>x :</t>
  </si>
  <si>
    <r>
      <t>d</t>
    </r>
    <r>
      <rPr>
        <vertAlign val="subscript"/>
        <sz val="12"/>
        <rFont val="Tekton"/>
        <charset val="238"/>
      </rPr>
      <t>0</t>
    </r>
    <r>
      <rPr>
        <sz val="12"/>
        <rFont val="Tekton"/>
        <family val="2"/>
      </rPr>
      <t xml:space="preserve"> = h/2=</t>
    </r>
  </si>
  <si>
    <r>
      <t>β1=(d</t>
    </r>
    <r>
      <rPr>
        <vertAlign val="subscript"/>
        <sz val="12"/>
        <rFont val="Tekton"/>
        <charset val="238"/>
      </rPr>
      <t>0</t>
    </r>
    <r>
      <rPr>
        <sz val="12"/>
        <rFont val="Tekton"/>
        <charset val="238"/>
      </rPr>
      <t xml:space="preserve"> - d</t>
    </r>
    <r>
      <rPr>
        <vertAlign val="subscript"/>
        <sz val="12"/>
        <rFont val="Tekton"/>
        <charset val="238"/>
      </rPr>
      <t>cu</t>
    </r>
    <r>
      <rPr>
        <sz val="12"/>
        <rFont val="Tekton"/>
        <charset val="238"/>
      </rPr>
      <t>)/(d</t>
    </r>
    <r>
      <rPr>
        <vertAlign val="subscript"/>
        <sz val="12"/>
        <rFont val="Tekton"/>
        <charset val="238"/>
      </rPr>
      <t>tl</t>
    </r>
    <r>
      <rPr>
        <sz val="12"/>
        <rFont val="Tekton"/>
        <charset val="238"/>
      </rPr>
      <t xml:space="preserve"> - d</t>
    </r>
    <r>
      <rPr>
        <vertAlign val="subscript"/>
        <sz val="12"/>
        <rFont val="Tekton"/>
        <charset val="238"/>
      </rPr>
      <t>0</t>
    </r>
    <r>
      <rPr>
        <sz val="12"/>
        <rFont val="Tekton"/>
        <charset val="238"/>
      </rPr>
      <t>)</t>
    </r>
  </si>
  <si>
    <r>
      <t>β2=(d</t>
    </r>
    <r>
      <rPr>
        <vertAlign val="subscript"/>
        <sz val="12"/>
        <rFont val="Tekton"/>
        <charset val="238"/>
      </rPr>
      <t>0</t>
    </r>
    <r>
      <rPr>
        <sz val="12"/>
        <rFont val="Tekton"/>
        <charset val="238"/>
      </rPr>
      <t xml:space="preserve"> - d</t>
    </r>
    <r>
      <rPr>
        <vertAlign val="subscript"/>
        <sz val="12"/>
        <rFont val="Tekton"/>
        <charset val="238"/>
      </rPr>
      <t>cl</t>
    </r>
    <r>
      <rPr>
        <sz val="12"/>
        <rFont val="Tekton"/>
        <charset val="238"/>
      </rPr>
      <t>)/(d</t>
    </r>
    <r>
      <rPr>
        <vertAlign val="subscript"/>
        <sz val="12"/>
        <rFont val="Tekton"/>
        <charset val="238"/>
      </rPr>
      <t>tu</t>
    </r>
    <r>
      <rPr>
        <sz val="12"/>
        <rFont val="Tekton"/>
        <charset val="238"/>
      </rPr>
      <t xml:space="preserve"> - d</t>
    </r>
    <r>
      <rPr>
        <vertAlign val="subscript"/>
        <sz val="12"/>
        <rFont val="Tekton"/>
        <charset val="238"/>
      </rPr>
      <t>0</t>
    </r>
    <r>
      <rPr>
        <sz val="12"/>
        <rFont val="Tekton"/>
        <charset val="238"/>
      </rPr>
      <t>)</t>
    </r>
  </si>
  <si>
    <r>
      <t>β3=(d</t>
    </r>
    <r>
      <rPr>
        <vertAlign val="subscript"/>
        <sz val="12"/>
        <rFont val="Tekton"/>
        <charset val="238"/>
      </rPr>
      <t>0</t>
    </r>
    <r>
      <rPr>
        <sz val="12"/>
        <rFont val="Tekton"/>
        <charset val="238"/>
      </rPr>
      <t xml:space="preserve"> - d</t>
    </r>
    <r>
      <rPr>
        <vertAlign val="subscript"/>
        <sz val="12"/>
        <rFont val="Tekton"/>
        <charset val="238"/>
      </rPr>
      <t>cu</t>
    </r>
    <r>
      <rPr>
        <sz val="12"/>
        <rFont val="Tekton"/>
        <charset val="238"/>
      </rPr>
      <t>)/(d</t>
    </r>
    <r>
      <rPr>
        <vertAlign val="subscript"/>
        <sz val="12"/>
        <rFont val="Tekton"/>
        <charset val="238"/>
      </rPr>
      <t>tl</t>
    </r>
    <r>
      <rPr>
        <sz val="12"/>
        <rFont val="Tekton"/>
        <charset val="238"/>
      </rPr>
      <t xml:space="preserve"> - d</t>
    </r>
    <r>
      <rPr>
        <vertAlign val="subscript"/>
        <sz val="12"/>
        <rFont val="Tekton"/>
        <charset val="238"/>
      </rPr>
      <t>cu</t>
    </r>
    <r>
      <rPr>
        <sz val="12"/>
        <rFont val="Tekton"/>
        <charset val="238"/>
      </rPr>
      <t>)</t>
    </r>
  </si>
  <si>
    <t>Nośność moment</t>
  </si>
  <si>
    <r>
      <t>F</t>
    </r>
    <r>
      <rPr>
        <vertAlign val="subscript"/>
        <sz val="12"/>
        <rFont val="Arial"/>
        <family val="2"/>
        <charset val="238"/>
      </rPr>
      <t>N</t>
    </r>
  </si>
  <si>
    <t>Zamknięcie wykresu</t>
  </si>
  <si>
    <r>
      <t>10% F</t>
    </r>
    <r>
      <rPr>
        <vertAlign val="subscript"/>
        <sz val="10"/>
        <rFont val="Arial"/>
        <family val="2"/>
        <charset val="238"/>
      </rPr>
      <t>cA</t>
    </r>
  </si>
  <si>
    <t>SIŁY PRZEKROJOWE</t>
  </si>
  <si>
    <t>obliczeniowe (SGN)</t>
  </si>
  <si>
    <t>co (odstęp)</t>
  </si>
  <si>
    <t>Moment beton nadmiar (jeśli x&gt;h)</t>
  </si>
  <si>
    <t>Moment beton</t>
  </si>
  <si>
    <t xml:space="preserve">Maks naprężenia w stali </t>
  </si>
  <si>
    <r>
      <t>ε</t>
    </r>
    <r>
      <rPr>
        <vertAlign val="subscript"/>
        <sz val="12"/>
        <rFont val="Arial"/>
        <family val="2"/>
        <charset val="238"/>
      </rPr>
      <t>cu2*</t>
    </r>
    <r>
      <rPr>
        <sz val="12"/>
        <rFont val="Arial"/>
        <family val="2"/>
        <charset val="238"/>
      </rPr>
      <t>E</t>
    </r>
    <r>
      <rPr>
        <vertAlign val="subscript"/>
        <sz val="12"/>
        <rFont val="Arial"/>
        <family val="2"/>
        <charset val="238"/>
      </rPr>
      <t>s</t>
    </r>
  </si>
  <si>
    <r>
      <t>σ</t>
    </r>
    <r>
      <rPr>
        <vertAlign val="subscript"/>
        <sz val="12"/>
        <rFont val="Arial"/>
        <family val="2"/>
        <charset val="238"/>
      </rPr>
      <t>smax</t>
    </r>
    <r>
      <rPr>
        <sz val="12"/>
        <rFont val="Arial"/>
        <family val="2"/>
        <charset val="238"/>
      </rPr>
      <t>=</t>
    </r>
  </si>
  <si>
    <r>
      <t>x</t>
    </r>
    <r>
      <rPr>
        <vertAlign val="subscript"/>
        <sz val="10"/>
        <rFont val="Arial"/>
        <family val="2"/>
      </rPr>
      <t>C</t>
    </r>
    <r>
      <rPr>
        <sz val="10"/>
        <rFont val="Arial"/>
        <family val="2"/>
        <charset val="238"/>
      </rPr>
      <t>=d</t>
    </r>
    <r>
      <rPr>
        <vertAlign val="subscript"/>
        <sz val="10"/>
        <rFont val="Arial"/>
        <family val="2"/>
      </rPr>
      <t>tu</t>
    </r>
    <r>
      <rPr>
        <sz val="10"/>
        <rFont val="Arial"/>
        <family val="2"/>
        <charset val="238"/>
      </rPr>
      <t>/(1-f</t>
    </r>
    <r>
      <rPr>
        <vertAlign val="subscript"/>
        <sz val="10"/>
        <rFont val="Arial"/>
        <family val="2"/>
      </rPr>
      <t>yd</t>
    </r>
    <r>
      <rPr>
        <sz val="10"/>
        <rFont val="Arial"/>
        <family val="2"/>
        <charset val="238"/>
      </rPr>
      <t>/s</t>
    </r>
    <r>
      <rPr>
        <vertAlign val="subscript"/>
        <sz val="10"/>
        <rFont val="Arial"/>
        <family val="2"/>
        <charset val="238"/>
      </rPr>
      <t>smax</t>
    </r>
    <r>
      <rPr>
        <sz val="10"/>
        <rFont val="Arial"/>
        <family val="2"/>
        <charset val="238"/>
      </rPr>
      <t>)</t>
    </r>
  </si>
  <si>
    <t>N1=</t>
  </si>
  <si>
    <r>
      <t>Δx</t>
    </r>
    <r>
      <rPr>
        <vertAlign val="subscript"/>
        <sz val="12"/>
        <rFont val="Tekton"/>
        <charset val="238"/>
      </rPr>
      <t>1</t>
    </r>
    <r>
      <rPr>
        <sz val="12"/>
        <rFont val="Tekton"/>
        <family val="2"/>
      </rPr>
      <t xml:space="preserve"> =</t>
    </r>
  </si>
  <si>
    <t>Nośność  siła osiowa</t>
  </si>
  <si>
    <t>Odkształcenie minimalne stali</t>
  </si>
  <si>
    <r>
      <t>ε</t>
    </r>
    <r>
      <rPr>
        <vertAlign val="subscript"/>
        <sz val="12"/>
        <rFont val="Arial"/>
        <family val="2"/>
        <charset val="238"/>
      </rPr>
      <t>ud</t>
    </r>
    <r>
      <rPr>
        <sz val="12"/>
        <rFont val="Arial"/>
        <family val="2"/>
        <charset val="238"/>
      </rPr>
      <t>=</t>
    </r>
  </si>
  <si>
    <t xml:space="preserve">(2,5 lub 5,0 lub 7,5)%/γs </t>
  </si>
  <si>
    <t>Moduł stali ścisk.</t>
  </si>
  <si>
    <t>Model stali</t>
  </si>
  <si>
    <t>współczynnik pochylenia</t>
  </si>
  <si>
    <t>Promień modelu</t>
  </si>
  <si>
    <r>
      <t>k</t>
    </r>
    <r>
      <rPr>
        <vertAlign val="subscript"/>
        <sz val="10"/>
        <rFont val="Arial"/>
        <family val="2"/>
        <charset val="238"/>
      </rPr>
      <t>s</t>
    </r>
    <r>
      <rPr>
        <sz val="10"/>
        <rFont val="Arial"/>
        <family val="2"/>
        <charset val="238"/>
      </rPr>
      <t>=(0,05 lub0,08 lub 0,15)</t>
    </r>
  </si>
  <si>
    <t>Odkształcenie plastyczne</t>
  </si>
  <si>
    <r>
      <t>ε</t>
    </r>
    <r>
      <rPr>
        <vertAlign val="subscript"/>
        <sz val="12"/>
        <rFont val="Arial"/>
        <family val="2"/>
        <charset val="238"/>
      </rPr>
      <t>yd</t>
    </r>
    <r>
      <rPr>
        <sz val="12"/>
        <rFont val="Arial"/>
        <family val="2"/>
        <charset val="238"/>
      </rPr>
      <t>=</t>
    </r>
  </si>
  <si>
    <r>
      <t>R</t>
    </r>
    <r>
      <rPr>
        <vertAlign val="subscript"/>
        <sz val="10"/>
        <rFont val="Arial"/>
        <family val="2"/>
        <charset val="238"/>
      </rPr>
      <t>s</t>
    </r>
    <r>
      <rPr>
        <sz val="10"/>
        <rFont val="Arial"/>
        <family val="2"/>
        <charset val="238"/>
      </rPr>
      <t>=</t>
    </r>
  </si>
  <si>
    <r>
      <t>f</t>
    </r>
    <r>
      <rPr>
        <vertAlign val="subscript"/>
        <sz val="10"/>
        <rFont val="Arial"/>
        <family val="2"/>
        <charset val="238"/>
      </rPr>
      <t>yd/</t>
    </r>
    <r>
      <rPr>
        <sz val="10"/>
        <rFont val="Arial"/>
        <family val="2"/>
        <charset val="238"/>
      </rPr>
      <t>E</t>
    </r>
    <r>
      <rPr>
        <vertAlign val="subscript"/>
        <sz val="10"/>
        <rFont val="Arial"/>
        <family val="2"/>
        <charset val="238"/>
      </rPr>
      <t>s</t>
    </r>
  </si>
  <si>
    <r>
      <t>Wartość bezwględna ε</t>
    </r>
    <r>
      <rPr>
        <vertAlign val="subscript"/>
        <sz val="10"/>
        <rFont val="Arial"/>
        <family val="2"/>
      </rPr>
      <t>sc</t>
    </r>
    <r>
      <rPr>
        <sz val="10"/>
        <rFont val="Arial"/>
        <family val="2"/>
        <charset val="238"/>
      </rPr>
      <t xml:space="preserve"> </t>
    </r>
  </si>
  <si>
    <t>Napr. beton obok stali ścisk</t>
  </si>
  <si>
    <t>Napr. stal ścisk.</t>
  </si>
  <si>
    <t>= x/h</t>
  </si>
  <si>
    <r>
      <t>= F</t>
    </r>
    <r>
      <rPr>
        <vertAlign val="subscript"/>
        <sz val="12"/>
        <rFont val="Arial"/>
        <family val="2"/>
        <charset val="238"/>
      </rPr>
      <t>cA</t>
    </r>
    <r>
      <rPr>
        <sz val="12"/>
        <rFont val="Arial"/>
        <family val="2"/>
        <charset val="238"/>
      </rPr>
      <t>· 17/21·</t>
    </r>
    <r>
      <rPr>
        <u/>
        <sz val="12"/>
        <rFont val="Arial"/>
        <family val="2"/>
        <charset val="238"/>
      </rPr>
      <t>x</t>
    </r>
    <r>
      <rPr>
        <sz val="12"/>
        <rFont val="Arial"/>
        <family val="2"/>
        <charset val="238"/>
      </rPr>
      <t/>
    </r>
  </si>
  <si>
    <r>
      <t>= F</t>
    </r>
    <r>
      <rPr>
        <vertAlign val="subscript"/>
        <sz val="12"/>
        <rFont val="Arial"/>
        <family val="2"/>
        <charset val="238"/>
      </rPr>
      <t>N</t>
    </r>
    <r>
      <rPr>
        <sz val="12"/>
        <rFont val="Arial"/>
        <family val="2"/>
        <charset val="238"/>
      </rPr>
      <t>·(21+20·</t>
    </r>
    <r>
      <rPr>
        <u/>
        <sz val="12"/>
        <rFont val="Arial"/>
        <family val="2"/>
        <charset val="238"/>
      </rPr>
      <t>x</t>
    </r>
    <r>
      <rPr>
        <sz val="12"/>
        <rFont val="Arial"/>
        <family val="2"/>
        <charset val="238"/>
      </rPr>
      <t>)</t>
    </r>
  </si>
  <si>
    <r>
      <t xml:space="preserve">= 7/192(1- </t>
    </r>
    <r>
      <rPr>
        <u/>
        <sz val="12"/>
        <rFont val="Arial"/>
        <family val="2"/>
        <charset val="238"/>
      </rPr>
      <t>x</t>
    </r>
    <r>
      <rPr>
        <vertAlign val="superscript"/>
        <sz val="12"/>
        <rFont val="Arial"/>
        <family val="2"/>
        <charset val="238"/>
      </rPr>
      <t>2</t>
    </r>
    <r>
      <rPr>
        <sz val="12"/>
        <rFont val="Arial"/>
        <family val="2"/>
        <charset val="238"/>
      </rPr>
      <t>)/</t>
    </r>
    <r>
      <rPr>
        <u/>
        <sz val="12"/>
        <rFont val="Arial"/>
        <family val="2"/>
        <charset val="238"/>
      </rPr>
      <t>x</t>
    </r>
    <r>
      <rPr>
        <vertAlign val="superscript"/>
        <sz val="12"/>
        <rFont val="Arial"/>
        <family val="2"/>
        <charset val="238"/>
      </rPr>
      <t>2</t>
    </r>
    <r>
      <rPr>
        <sz val="12"/>
        <rFont val="Arial"/>
        <family val="2"/>
        <charset val="238"/>
      </rPr>
      <t>*F</t>
    </r>
    <r>
      <rPr>
        <vertAlign val="subscript"/>
        <sz val="12"/>
        <rFont val="Arial"/>
        <family val="2"/>
        <charset val="238"/>
      </rPr>
      <t>cA</t>
    </r>
  </si>
  <si>
    <r>
      <t>= F</t>
    </r>
    <r>
      <rPr>
        <vertAlign val="subscript"/>
        <sz val="12"/>
        <rFont val="Arial"/>
        <family val="2"/>
        <charset val="238"/>
      </rPr>
      <t>c&lt;</t>
    </r>
    <r>
      <rPr>
        <sz val="12"/>
        <rFont val="Arial"/>
        <family val="2"/>
        <charset val="238"/>
      </rPr>
      <t xml:space="preserve"> - ΔF</t>
    </r>
    <r>
      <rPr>
        <vertAlign val="subscript"/>
        <sz val="12"/>
        <rFont val="Arial"/>
        <family val="2"/>
        <charset val="238"/>
      </rPr>
      <t>c</t>
    </r>
  </si>
  <si>
    <r>
      <t>=  sgn(x)·ε</t>
    </r>
    <r>
      <rPr>
        <vertAlign val="subscript"/>
        <sz val="12"/>
        <rFont val="Tekton"/>
        <charset val="238"/>
      </rPr>
      <t>cu2</t>
    </r>
    <r>
      <rPr>
        <sz val="12"/>
        <rFont val="Tekton"/>
        <family val="2"/>
      </rPr>
      <t>·(x-d</t>
    </r>
    <r>
      <rPr>
        <vertAlign val="subscript"/>
        <sz val="12"/>
        <rFont val="Tekton"/>
        <charset val="238"/>
      </rPr>
      <t>cu</t>
    </r>
    <r>
      <rPr>
        <sz val="12"/>
        <rFont val="Tekton"/>
        <family val="2"/>
      </rPr>
      <t>)/x</t>
    </r>
  </si>
  <si>
    <r>
      <t>= [k</t>
    </r>
    <r>
      <rPr>
        <vertAlign val="subscript"/>
        <sz val="12"/>
        <rFont val="Arial"/>
        <family val="2"/>
        <charset val="238"/>
      </rPr>
      <t>s</t>
    </r>
    <r>
      <rPr>
        <sz val="12"/>
        <rFont val="Arial"/>
        <family val="2"/>
        <charset val="238"/>
      </rPr>
      <t>+(1-k</t>
    </r>
    <r>
      <rPr>
        <vertAlign val="subscript"/>
        <sz val="12"/>
        <rFont val="Arial"/>
        <family val="2"/>
        <charset val="238"/>
      </rPr>
      <t>s</t>
    </r>
    <r>
      <rPr>
        <sz val="12"/>
        <rFont val="Arial"/>
        <family val="2"/>
        <charset val="238"/>
      </rPr>
      <t>)/(1+(ε</t>
    </r>
    <r>
      <rPr>
        <vertAlign val="subscript"/>
        <sz val="12"/>
        <rFont val="Arial"/>
        <family val="2"/>
        <charset val="238"/>
      </rPr>
      <t>sc</t>
    </r>
    <r>
      <rPr>
        <sz val="12"/>
        <rFont val="Arial"/>
        <family val="2"/>
        <charset val="238"/>
      </rPr>
      <t>/ε</t>
    </r>
    <r>
      <rPr>
        <vertAlign val="subscript"/>
        <sz val="12"/>
        <rFont val="Arial"/>
        <family val="2"/>
        <charset val="238"/>
      </rPr>
      <t>yd</t>
    </r>
    <r>
      <rPr>
        <sz val="12"/>
        <rFont val="Arial"/>
        <family val="2"/>
        <charset val="238"/>
      </rPr>
      <t>)</t>
    </r>
    <r>
      <rPr>
        <vertAlign val="superscript"/>
        <sz val="12"/>
        <rFont val="Arial"/>
        <family val="2"/>
        <charset val="238"/>
      </rPr>
      <t>Rs</t>
    </r>
    <r>
      <rPr>
        <sz val="12"/>
        <rFont val="Arial"/>
        <family val="2"/>
        <charset val="238"/>
      </rPr>
      <t>)</t>
    </r>
    <r>
      <rPr>
        <vertAlign val="superscript"/>
        <sz val="12"/>
        <rFont val="Arial"/>
        <family val="2"/>
        <charset val="238"/>
      </rPr>
      <t>(1/Rs)</t>
    </r>
    <r>
      <rPr>
        <sz val="12"/>
        <rFont val="Arial"/>
        <family val="2"/>
        <charset val="238"/>
      </rPr>
      <t>]*E</t>
    </r>
    <r>
      <rPr>
        <vertAlign val="subscript"/>
        <sz val="12"/>
        <rFont val="Arial"/>
        <family val="2"/>
        <charset val="238"/>
      </rPr>
      <t>s</t>
    </r>
  </si>
  <si>
    <r>
      <t>= f</t>
    </r>
    <r>
      <rPr>
        <vertAlign val="subscript"/>
        <sz val="12"/>
        <rFont val="Tekton"/>
        <charset val="238"/>
      </rPr>
      <t>cd</t>
    </r>
    <r>
      <rPr>
        <sz val="12"/>
        <rFont val="Tekton"/>
        <charset val="238"/>
      </rPr>
      <t xml:space="preserve">*(1- </t>
    </r>
    <r>
      <rPr>
        <sz val="12"/>
        <rFont val="Tekton"/>
        <family val="2"/>
      </rPr>
      <t xml:space="preserve"> jeśli ε</t>
    </r>
    <r>
      <rPr>
        <vertAlign val="subscript"/>
        <sz val="12"/>
        <rFont val="Tekton"/>
        <charset val="238"/>
      </rPr>
      <t>sc</t>
    </r>
    <r>
      <rPr>
        <sz val="12"/>
        <rFont val="Tekton"/>
        <family val="2"/>
      </rPr>
      <t>&lt;ε</t>
    </r>
    <r>
      <rPr>
        <vertAlign val="subscript"/>
        <sz val="12"/>
        <rFont val="Tekton"/>
        <charset val="238"/>
      </rPr>
      <t>c2</t>
    </r>
    <r>
      <rPr>
        <sz val="12"/>
        <rFont val="Tekton"/>
        <family val="2"/>
      </rPr>
      <t xml:space="preserve"> [1 -(1-ε</t>
    </r>
    <r>
      <rPr>
        <vertAlign val="subscript"/>
        <sz val="12"/>
        <rFont val="Tekton"/>
        <charset val="238"/>
      </rPr>
      <t>sc/</t>
    </r>
    <r>
      <rPr>
        <sz val="12"/>
        <rFont val="Tekton"/>
        <family val="2"/>
      </rPr>
      <t>ε</t>
    </r>
    <r>
      <rPr>
        <vertAlign val="subscript"/>
        <sz val="12"/>
        <rFont val="Tekton"/>
        <charset val="238"/>
      </rPr>
      <t>c2)</t>
    </r>
    <r>
      <rPr>
        <vertAlign val="superscript"/>
        <sz val="12"/>
        <rFont val="Tekton"/>
        <charset val="238"/>
      </rPr>
      <t>2</t>
    </r>
    <r>
      <rPr>
        <sz val="12"/>
        <rFont val="Tekton"/>
        <charset val="238"/>
      </rPr>
      <t>])</t>
    </r>
  </si>
  <si>
    <r>
      <t>= E</t>
    </r>
    <r>
      <rPr>
        <vertAlign val="subscript"/>
        <sz val="12"/>
        <rFont val="Arial"/>
        <family val="2"/>
        <charset val="238"/>
      </rPr>
      <t>sc</t>
    </r>
    <r>
      <rPr>
        <sz val="12"/>
        <rFont val="Arial"/>
        <family val="2"/>
        <charset val="238"/>
      </rPr>
      <t>*ε</t>
    </r>
    <r>
      <rPr>
        <vertAlign val="subscript"/>
        <sz val="12"/>
        <rFont val="Arial"/>
        <family val="2"/>
        <charset val="238"/>
      </rPr>
      <t>sc</t>
    </r>
    <r>
      <rPr>
        <sz val="12"/>
        <rFont val="Arial"/>
        <family val="2"/>
        <charset val="238"/>
      </rPr>
      <t xml:space="preserve"> - σ</t>
    </r>
    <r>
      <rPr>
        <vertAlign val="subscript"/>
        <sz val="12"/>
        <rFont val="Arial"/>
        <family val="2"/>
        <charset val="238"/>
      </rPr>
      <t>cs</t>
    </r>
  </si>
  <si>
    <r>
      <t>= σ</t>
    </r>
    <r>
      <rPr>
        <vertAlign val="subscript"/>
        <sz val="12"/>
        <rFont val="Arial"/>
        <family val="2"/>
        <charset val="238"/>
      </rPr>
      <t>sc</t>
    </r>
    <r>
      <rPr>
        <sz val="12"/>
        <rFont val="Arial"/>
        <family val="2"/>
        <charset val="238"/>
      </rPr>
      <t>·A</t>
    </r>
    <r>
      <rPr>
        <vertAlign val="subscript"/>
        <sz val="12"/>
        <rFont val="Arial"/>
        <family val="2"/>
        <charset val="238"/>
      </rPr>
      <t>sc</t>
    </r>
  </si>
  <si>
    <r>
      <t>= ε</t>
    </r>
    <r>
      <rPr>
        <vertAlign val="subscript"/>
        <sz val="12"/>
        <rFont val="Tekton"/>
        <charset val="238"/>
      </rPr>
      <t>cu2</t>
    </r>
    <r>
      <rPr>
        <sz val="12"/>
        <rFont val="Tekton"/>
        <family val="2"/>
      </rPr>
      <t>·(d</t>
    </r>
    <r>
      <rPr>
        <vertAlign val="subscript"/>
        <sz val="12"/>
        <rFont val="Tekton"/>
        <charset val="238"/>
      </rPr>
      <t>tl</t>
    </r>
    <r>
      <rPr>
        <sz val="12"/>
        <rFont val="Tekton"/>
        <family val="2"/>
      </rPr>
      <t>-x)/x</t>
    </r>
  </si>
  <si>
    <r>
      <t>= σ</t>
    </r>
    <r>
      <rPr>
        <vertAlign val="subscript"/>
        <sz val="12"/>
        <rFont val="Arial"/>
        <family val="2"/>
        <charset val="238"/>
      </rPr>
      <t>st</t>
    </r>
    <r>
      <rPr>
        <sz val="12"/>
        <rFont val="Arial"/>
        <family val="2"/>
        <charset val="238"/>
      </rPr>
      <t>·A</t>
    </r>
    <r>
      <rPr>
        <vertAlign val="subscript"/>
        <sz val="12"/>
        <rFont val="Arial"/>
        <family val="2"/>
        <charset val="238"/>
      </rPr>
      <t>st</t>
    </r>
  </si>
  <si>
    <r>
      <t>= F</t>
    </r>
    <r>
      <rPr>
        <vertAlign val="subscript"/>
        <sz val="12"/>
        <rFont val="Arial"/>
        <family val="2"/>
        <charset val="238"/>
      </rPr>
      <t>cA</t>
    </r>
    <r>
      <rPr>
        <sz val="12"/>
        <rFont val="Arial"/>
        <family val="2"/>
        <charset val="238"/>
      </rPr>
      <t>·h·(17/42·</t>
    </r>
    <r>
      <rPr>
        <u/>
        <sz val="12"/>
        <rFont val="Arial"/>
        <family val="2"/>
        <charset val="238"/>
      </rPr>
      <t>x</t>
    </r>
    <r>
      <rPr>
        <sz val="12"/>
        <rFont val="Arial"/>
        <family val="2"/>
        <charset val="238"/>
      </rPr>
      <t xml:space="preserve"> - 33/98·</t>
    </r>
    <r>
      <rPr>
        <u/>
        <sz val="12"/>
        <rFont val="Arial"/>
        <family val="2"/>
        <charset val="238"/>
      </rPr>
      <t>x</t>
    </r>
    <r>
      <rPr>
        <vertAlign val="superscript"/>
        <sz val="12"/>
        <rFont val="Arial"/>
        <family val="2"/>
        <charset val="238"/>
      </rPr>
      <t>2</t>
    </r>
    <r>
      <rPr>
        <sz val="12"/>
        <rFont val="Arial"/>
        <family val="2"/>
        <charset val="238"/>
      </rPr>
      <t>)</t>
    </r>
  </si>
  <si>
    <r>
      <t>= M</t>
    </r>
    <r>
      <rPr>
        <vertAlign val="subscript"/>
        <sz val="12"/>
        <rFont val="Arial"/>
        <family val="2"/>
        <charset val="238"/>
      </rPr>
      <t>c&lt;</t>
    </r>
    <r>
      <rPr>
        <sz val="12"/>
        <rFont val="Arial"/>
        <family val="2"/>
        <charset val="238"/>
      </rPr>
      <t xml:space="preserve"> - ΔM</t>
    </r>
    <r>
      <rPr>
        <vertAlign val="subscript"/>
        <sz val="12"/>
        <rFont val="Arial"/>
        <family val="2"/>
        <charset val="238"/>
      </rPr>
      <t>c</t>
    </r>
  </si>
  <si>
    <r>
      <t>= Fsc*(d</t>
    </r>
    <r>
      <rPr>
        <vertAlign val="subscript"/>
        <sz val="12"/>
        <rFont val="Arial"/>
        <family val="2"/>
        <charset val="238"/>
      </rPr>
      <t>0</t>
    </r>
    <r>
      <rPr>
        <sz val="12"/>
        <rFont val="Arial"/>
        <family val="2"/>
        <charset val="238"/>
      </rPr>
      <t>-a</t>
    </r>
    <r>
      <rPr>
        <vertAlign val="subscript"/>
        <sz val="12"/>
        <rFont val="Arial"/>
        <family val="2"/>
        <charset val="238"/>
      </rPr>
      <t>cu</t>
    </r>
    <r>
      <rPr>
        <sz val="12"/>
        <rFont val="Arial"/>
        <family val="2"/>
        <charset val="238"/>
      </rPr>
      <t>)</t>
    </r>
  </si>
  <si>
    <r>
      <t>= Fst*(d</t>
    </r>
    <r>
      <rPr>
        <vertAlign val="subscript"/>
        <sz val="12"/>
        <rFont val="Arial"/>
        <family val="2"/>
        <charset val="238"/>
      </rPr>
      <t>0</t>
    </r>
    <r>
      <rPr>
        <sz val="12"/>
        <rFont val="Arial"/>
        <family val="2"/>
        <charset val="238"/>
      </rPr>
      <t>-a</t>
    </r>
    <r>
      <rPr>
        <vertAlign val="subscript"/>
        <sz val="12"/>
        <rFont val="Arial"/>
        <family val="2"/>
        <charset val="238"/>
      </rPr>
      <t>tl</t>
    </r>
    <r>
      <rPr>
        <sz val="12"/>
        <rFont val="Arial"/>
        <family val="2"/>
        <charset val="238"/>
      </rPr>
      <t>)</t>
    </r>
  </si>
  <si>
    <r>
      <t>= - F</t>
    </r>
    <r>
      <rPr>
        <vertAlign val="subscript"/>
        <sz val="12"/>
        <rFont val="Arial"/>
        <family val="2"/>
        <charset val="238"/>
      </rPr>
      <t>N</t>
    </r>
    <r>
      <rPr>
        <sz val="12"/>
        <rFont val="Arial"/>
        <family val="2"/>
        <charset val="238"/>
      </rPr>
      <t>·h·(7+8·</t>
    </r>
    <r>
      <rPr>
        <u/>
        <sz val="12"/>
        <rFont val="Arial"/>
        <family val="2"/>
        <charset val="238"/>
      </rPr>
      <t>x</t>
    </r>
    <r>
      <rPr>
        <sz val="12"/>
        <rFont val="Arial"/>
        <family val="2"/>
        <charset val="238"/>
      </rPr>
      <t>+9·</t>
    </r>
    <r>
      <rPr>
        <u/>
        <sz val="12"/>
        <rFont val="Arial"/>
        <family val="2"/>
        <charset val="238"/>
      </rPr>
      <t>x</t>
    </r>
    <r>
      <rPr>
        <vertAlign val="superscript"/>
        <sz val="12"/>
        <rFont val="Arial"/>
        <family val="2"/>
        <charset val="238"/>
      </rPr>
      <t>2</t>
    </r>
    <r>
      <rPr>
        <sz val="12"/>
        <rFont val="Arial"/>
        <family val="2"/>
        <charset val="238"/>
      </rPr>
      <t>)</t>
    </r>
  </si>
  <si>
    <r>
      <t>x</t>
    </r>
    <r>
      <rPr>
        <sz val="12"/>
        <rFont val="Arial"/>
        <family val="2"/>
        <charset val="238"/>
      </rPr>
      <t xml:space="preserve"> </t>
    </r>
  </si>
  <si>
    <r>
      <t>F</t>
    </r>
    <r>
      <rPr>
        <vertAlign val="subscript"/>
        <sz val="12"/>
        <rFont val="Arial"/>
        <family val="2"/>
        <charset val="238"/>
      </rPr>
      <t xml:space="preserve">c&lt; </t>
    </r>
    <r>
      <rPr>
        <sz val="12"/>
        <rFont val="Arial"/>
        <family val="2"/>
        <charset val="238"/>
      </rPr>
      <t xml:space="preserve"> </t>
    </r>
  </si>
  <si>
    <r>
      <t>ΔF</t>
    </r>
    <r>
      <rPr>
        <vertAlign val="subscript"/>
        <sz val="12"/>
        <rFont val="Arial"/>
        <family val="2"/>
        <charset val="238"/>
      </rPr>
      <t>c</t>
    </r>
    <r>
      <rPr>
        <sz val="12"/>
        <rFont val="Arial"/>
        <family val="2"/>
        <charset val="238"/>
      </rPr>
      <t xml:space="preserve"> </t>
    </r>
  </si>
  <si>
    <r>
      <t>F</t>
    </r>
    <r>
      <rPr>
        <vertAlign val="subscript"/>
        <sz val="12"/>
        <rFont val="Arial"/>
        <family val="2"/>
        <charset val="238"/>
      </rPr>
      <t xml:space="preserve">c </t>
    </r>
  </si>
  <si>
    <r>
      <t>ε</t>
    </r>
    <r>
      <rPr>
        <vertAlign val="subscript"/>
        <sz val="12"/>
        <rFont val="Arial"/>
        <family val="2"/>
        <charset val="238"/>
      </rPr>
      <t xml:space="preserve">sc </t>
    </r>
  </si>
  <si>
    <r>
      <t>| ε</t>
    </r>
    <r>
      <rPr>
        <vertAlign val="subscript"/>
        <sz val="12"/>
        <rFont val="Arial"/>
        <family val="2"/>
        <charset val="238"/>
      </rPr>
      <t xml:space="preserve">sc </t>
    </r>
    <r>
      <rPr>
        <sz val="12"/>
        <rFont val="Arial"/>
        <family val="2"/>
      </rPr>
      <t xml:space="preserve">| </t>
    </r>
  </si>
  <si>
    <r>
      <t>E</t>
    </r>
    <r>
      <rPr>
        <vertAlign val="subscript"/>
        <sz val="12"/>
        <rFont val="Arial"/>
        <family val="2"/>
        <charset val="238"/>
      </rPr>
      <t>sc</t>
    </r>
  </si>
  <si>
    <r>
      <t>σ</t>
    </r>
    <r>
      <rPr>
        <vertAlign val="subscript"/>
        <sz val="12"/>
        <rFont val="Arial"/>
        <family val="2"/>
        <charset val="238"/>
      </rPr>
      <t xml:space="preserve">cs </t>
    </r>
  </si>
  <si>
    <r>
      <t>σ</t>
    </r>
    <r>
      <rPr>
        <vertAlign val="subscript"/>
        <sz val="12"/>
        <rFont val="Arial"/>
        <family val="2"/>
        <charset val="238"/>
      </rPr>
      <t>sc</t>
    </r>
  </si>
  <si>
    <r>
      <t>F</t>
    </r>
    <r>
      <rPr>
        <vertAlign val="subscript"/>
        <sz val="12"/>
        <rFont val="Arial"/>
        <family val="2"/>
        <charset val="238"/>
      </rPr>
      <t xml:space="preserve">sc </t>
    </r>
  </si>
  <si>
    <r>
      <t>ε</t>
    </r>
    <r>
      <rPr>
        <vertAlign val="subscript"/>
        <sz val="12"/>
        <rFont val="Arial"/>
        <family val="2"/>
        <charset val="238"/>
      </rPr>
      <t xml:space="preserve">st </t>
    </r>
  </si>
  <si>
    <r>
      <t>σ</t>
    </r>
    <r>
      <rPr>
        <vertAlign val="subscript"/>
        <sz val="12"/>
        <rFont val="Arial"/>
        <family val="2"/>
        <charset val="238"/>
      </rPr>
      <t xml:space="preserve">st </t>
    </r>
  </si>
  <si>
    <r>
      <t>F</t>
    </r>
    <r>
      <rPr>
        <vertAlign val="subscript"/>
        <sz val="12"/>
        <rFont val="Arial"/>
        <family val="2"/>
        <charset val="238"/>
      </rPr>
      <t xml:space="preserve">st </t>
    </r>
  </si>
  <si>
    <r>
      <t>M</t>
    </r>
    <r>
      <rPr>
        <vertAlign val="subscript"/>
        <sz val="12"/>
        <rFont val="Arial"/>
        <family val="2"/>
        <charset val="238"/>
      </rPr>
      <t>c&lt;</t>
    </r>
    <r>
      <rPr>
        <sz val="12"/>
        <rFont val="Arial"/>
        <family val="2"/>
        <charset val="238"/>
      </rPr>
      <t xml:space="preserve"> </t>
    </r>
  </si>
  <si>
    <r>
      <t>ΔM</t>
    </r>
    <r>
      <rPr>
        <vertAlign val="subscript"/>
        <sz val="12"/>
        <rFont val="Arial"/>
        <family val="2"/>
        <charset val="238"/>
      </rPr>
      <t>c</t>
    </r>
    <r>
      <rPr>
        <sz val="12"/>
        <rFont val="Arial"/>
        <family val="2"/>
        <charset val="238"/>
      </rPr>
      <t xml:space="preserve"> </t>
    </r>
  </si>
  <si>
    <r>
      <t>M</t>
    </r>
    <r>
      <rPr>
        <vertAlign val="subscript"/>
        <sz val="12"/>
        <rFont val="Arial"/>
        <family val="2"/>
        <charset val="238"/>
      </rPr>
      <t>c</t>
    </r>
  </si>
  <si>
    <r>
      <t>M</t>
    </r>
    <r>
      <rPr>
        <vertAlign val="subscript"/>
        <sz val="12"/>
        <rFont val="Arial"/>
        <family val="2"/>
        <charset val="238"/>
      </rPr>
      <t xml:space="preserve">sc </t>
    </r>
  </si>
  <si>
    <r>
      <t>M</t>
    </r>
    <r>
      <rPr>
        <vertAlign val="subscript"/>
        <sz val="12"/>
        <rFont val="Arial"/>
        <family val="2"/>
        <charset val="238"/>
      </rPr>
      <t xml:space="preserve">st </t>
    </r>
  </si>
  <si>
    <t>Moduł stali rozciąg.</t>
  </si>
  <si>
    <r>
      <t>= [k</t>
    </r>
    <r>
      <rPr>
        <vertAlign val="subscript"/>
        <sz val="12"/>
        <rFont val="Arial"/>
        <family val="2"/>
        <charset val="238"/>
      </rPr>
      <t>s</t>
    </r>
    <r>
      <rPr>
        <sz val="12"/>
        <rFont val="Arial"/>
        <family val="2"/>
        <charset val="238"/>
      </rPr>
      <t>+(1-k</t>
    </r>
    <r>
      <rPr>
        <vertAlign val="subscript"/>
        <sz val="12"/>
        <rFont val="Arial"/>
        <family val="2"/>
        <charset val="238"/>
      </rPr>
      <t>s</t>
    </r>
    <r>
      <rPr>
        <sz val="12"/>
        <rFont val="Arial"/>
        <family val="2"/>
        <charset val="238"/>
      </rPr>
      <t>)/(1+(ε</t>
    </r>
    <r>
      <rPr>
        <vertAlign val="subscript"/>
        <sz val="12"/>
        <rFont val="Arial"/>
        <family val="2"/>
        <charset val="238"/>
      </rPr>
      <t>st</t>
    </r>
    <r>
      <rPr>
        <sz val="12"/>
        <rFont val="Arial"/>
        <family val="2"/>
        <charset val="238"/>
      </rPr>
      <t>/ε</t>
    </r>
    <r>
      <rPr>
        <vertAlign val="subscript"/>
        <sz val="12"/>
        <rFont val="Arial"/>
        <family val="2"/>
        <charset val="238"/>
      </rPr>
      <t>yd</t>
    </r>
    <r>
      <rPr>
        <sz val="12"/>
        <rFont val="Arial"/>
        <family val="2"/>
        <charset val="238"/>
      </rPr>
      <t>)</t>
    </r>
    <r>
      <rPr>
        <vertAlign val="superscript"/>
        <sz val="12"/>
        <rFont val="Arial"/>
        <family val="2"/>
        <charset val="238"/>
      </rPr>
      <t>Rs</t>
    </r>
    <r>
      <rPr>
        <sz val="12"/>
        <rFont val="Arial"/>
        <family val="2"/>
        <charset val="238"/>
      </rPr>
      <t>)</t>
    </r>
    <r>
      <rPr>
        <vertAlign val="superscript"/>
        <sz val="12"/>
        <rFont val="Arial"/>
        <family val="2"/>
        <charset val="238"/>
      </rPr>
      <t>(1/Rs)</t>
    </r>
    <r>
      <rPr>
        <sz val="12"/>
        <rFont val="Arial"/>
        <family val="2"/>
        <charset val="238"/>
      </rPr>
      <t>]*E</t>
    </r>
    <r>
      <rPr>
        <vertAlign val="subscript"/>
        <sz val="12"/>
        <rFont val="Arial"/>
        <family val="2"/>
        <charset val="238"/>
      </rPr>
      <t>s</t>
    </r>
  </si>
  <si>
    <r>
      <t>E</t>
    </r>
    <r>
      <rPr>
        <vertAlign val="subscript"/>
        <sz val="12"/>
        <rFont val="Arial"/>
        <family val="2"/>
        <charset val="238"/>
      </rPr>
      <t>st</t>
    </r>
  </si>
  <si>
    <r>
      <t>= Est*ε</t>
    </r>
    <r>
      <rPr>
        <vertAlign val="subscript"/>
        <sz val="12"/>
        <rFont val="Arial"/>
        <family val="2"/>
        <charset val="238"/>
      </rPr>
      <t>st</t>
    </r>
  </si>
  <si>
    <t>Rysunek przekroju</t>
  </si>
  <si>
    <t>wsp. kształtu</t>
  </si>
  <si>
    <t>odstęp</t>
  </si>
  <si>
    <t>Sprawdził</t>
  </si>
  <si>
    <t>Rewizja</t>
  </si>
  <si>
    <t>Pracownia Projektowa Chodor-Projekt</t>
  </si>
  <si>
    <t>Odkszt liniowe beton</t>
  </si>
  <si>
    <r>
      <t>ε</t>
    </r>
    <r>
      <rPr>
        <vertAlign val="subscript"/>
        <sz val="12"/>
        <rFont val="Arial"/>
        <family val="2"/>
        <charset val="238"/>
      </rPr>
      <t>c2</t>
    </r>
  </si>
  <si>
    <r>
      <t>0.75d</t>
    </r>
    <r>
      <rPr>
        <b/>
        <vertAlign val="subscript"/>
        <sz val="12"/>
        <color indexed="10"/>
        <rFont val="Arial"/>
        <family val="2"/>
        <charset val="238"/>
      </rPr>
      <t>tl</t>
    </r>
  </si>
  <si>
    <t>ChP-1</t>
  </si>
  <si>
    <t>z wykorzystaniem struktury arkusza</t>
  </si>
  <si>
    <t>A</t>
  </si>
  <si>
    <r>
      <t>N</t>
    </r>
    <r>
      <rPr>
        <vertAlign val="subscript"/>
        <sz val="14"/>
        <rFont val="Arial"/>
        <family val="2"/>
        <charset val="238"/>
      </rPr>
      <t>Rd</t>
    </r>
    <r>
      <rPr>
        <sz val="14"/>
        <rFont val="Arial"/>
        <family val="2"/>
        <charset val="238"/>
      </rPr>
      <t>=F</t>
    </r>
    <r>
      <rPr>
        <vertAlign val="subscript"/>
        <sz val="14"/>
        <rFont val="Arial"/>
        <family val="2"/>
        <charset val="238"/>
      </rPr>
      <t xml:space="preserve">c </t>
    </r>
    <r>
      <rPr>
        <sz val="14"/>
        <rFont val="Arial"/>
        <family val="2"/>
        <charset val="238"/>
      </rPr>
      <t>+ F</t>
    </r>
    <r>
      <rPr>
        <vertAlign val="subscript"/>
        <sz val="14"/>
        <rFont val="Arial"/>
        <family val="2"/>
        <charset val="238"/>
      </rPr>
      <t>sc</t>
    </r>
    <r>
      <rPr>
        <sz val="14"/>
        <rFont val="Arial"/>
        <family val="2"/>
        <charset val="238"/>
      </rPr>
      <t xml:space="preserve"> - F</t>
    </r>
    <r>
      <rPr>
        <vertAlign val="subscript"/>
        <sz val="14"/>
        <rFont val="Arial"/>
        <family val="2"/>
        <charset val="238"/>
      </rPr>
      <t>st</t>
    </r>
  </si>
  <si>
    <r>
      <t>M</t>
    </r>
    <r>
      <rPr>
        <vertAlign val="subscript"/>
        <sz val="14"/>
        <rFont val="Arial"/>
        <family val="2"/>
        <charset val="238"/>
      </rPr>
      <t>Rd</t>
    </r>
    <r>
      <rPr>
        <sz val="14"/>
        <rFont val="Arial"/>
        <family val="2"/>
        <charset val="238"/>
      </rPr>
      <t>=M</t>
    </r>
    <r>
      <rPr>
        <vertAlign val="subscript"/>
        <sz val="14"/>
        <rFont val="Arial"/>
        <family val="2"/>
        <charset val="238"/>
      </rPr>
      <t>c</t>
    </r>
    <r>
      <rPr>
        <sz val="14"/>
        <rFont val="Arial"/>
        <family val="2"/>
        <charset val="238"/>
      </rPr>
      <t>+M</t>
    </r>
    <r>
      <rPr>
        <vertAlign val="subscript"/>
        <sz val="14"/>
        <rFont val="Arial"/>
        <family val="2"/>
        <charset val="238"/>
      </rPr>
      <t>sc</t>
    </r>
    <r>
      <rPr>
        <sz val="14"/>
        <rFont val="Arial"/>
        <family val="2"/>
        <charset val="238"/>
      </rPr>
      <t>+M</t>
    </r>
    <r>
      <rPr>
        <vertAlign val="subscript"/>
        <sz val="14"/>
        <rFont val="Arial"/>
        <family val="2"/>
        <charset val="238"/>
      </rPr>
      <t>st</t>
    </r>
  </si>
  <si>
    <r>
      <t xml:space="preserve"> Pomarańczowe komunikaty</t>
    </r>
    <r>
      <rPr>
        <sz val="10"/>
        <color indexed="10"/>
        <rFont val="Marker"/>
        <charset val="238"/>
      </rPr>
      <t xml:space="preserve"> </t>
    </r>
    <r>
      <rPr>
        <sz val="10"/>
        <rFont val="Marker"/>
        <charset val="238"/>
      </rPr>
      <t>są uwagami</t>
    </r>
  </si>
  <si>
    <r>
      <t xml:space="preserve"> </t>
    </r>
    <r>
      <rPr>
        <sz val="11"/>
        <rFont val="Marker"/>
        <charset val="238"/>
      </rPr>
      <t>Wprowadzaj dane tylko do</t>
    </r>
    <r>
      <rPr>
        <sz val="11"/>
        <color indexed="17"/>
        <rFont val="Marker"/>
        <charset val="238"/>
      </rPr>
      <t xml:space="preserve">  </t>
    </r>
    <r>
      <rPr>
        <sz val="11"/>
        <color indexed="12"/>
        <rFont val="Marker"/>
        <charset val="238"/>
      </rPr>
      <t>niebieskich komórek</t>
    </r>
  </si>
  <si>
    <t>Rodzaj elementu</t>
  </si>
  <si>
    <t xml:space="preserve">belka </t>
  </si>
  <si>
    <t>słup</t>
  </si>
  <si>
    <t xml:space="preserve">płyta </t>
  </si>
  <si>
    <t>ściana</t>
  </si>
  <si>
    <t>Wytrz. beton rozc.</t>
  </si>
  <si>
    <r>
      <t>f</t>
    </r>
    <r>
      <rPr>
        <vertAlign val="subscript"/>
        <sz val="10"/>
        <rFont val="Arial"/>
        <family val="2"/>
        <charset val="238"/>
      </rPr>
      <t>ctm/</t>
    </r>
    <r>
      <rPr>
        <sz val="10"/>
        <rFont val="Arial"/>
        <family val="2"/>
      </rPr>
      <t>=0,30* f</t>
    </r>
    <r>
      <rPr>
        <vertAlign val="subscript"/>
        <sz val="10"/>
        <rFont val="Arial"/>
        <family val="2"/>
      </rPr>
      <t xml:space="preserve">ck </t>
    </r>
    <r>
      <rPr>
        <vertAlign val="superscript"/>
        <sz val="10"/>
        <rFont val="Arial"/>
        <family val="2"/>
      </rPr>
      <t>2/3</t>
    </r>
  </si>
  <si>
    <r>
      <t>A</t>
    </r>
    <r>
      <rPr>
        <vertAlign val="subscript"/>
        <sz val="10"/>
        <rFont val="Arial"/>
        <family val="2"/>
      </rPr>
      <t>sminB</t>
    </r>
    <r>
      <rPr>
        <sz val="10"/>
        <rFont val="Arial"/>
        <family val="2"/>
        <charset val="238"/>
      </rPr>
      <t>=max{0,26f</t>
    </r>
    <r>
      <rPr>
        <vertAlign val="subscript"/>
        <sz val="10"/>
        <rFont val="Arial"/>
        <family val="2"/>
      </rPr>
      <t>ctm</t>
    </r>
    <r>
      <rPr>
        <sz val="10"/>
        <rFont val="Arial"/>
        <family val="2"/>
        <charset val="238"/>
      </rPr>
      <t>/f</t>
    </r>
    <r>
      <rPr>
        <vertAlign val="subscript"/>
        <sz val="10"/>
        <rFont val="Arial"/>
        <family val="2"/>
      </rPr>
      <t>yk</t>
    </r>
    <r>
      <rPr>
        <sz val="10"/>
        <rFont val="Arial"/>
        <family val="2"/>
        <charset val="238"/>
      </rPr>
      <t>;0,0013}*b*d</t>
    </r>
    <r>
      <rPr>
        <vertAlign val="subscript"/>
        <sz val="10"/>
        <rFont val="Arial"/>
        <family val="2"/>
      </rPr>
      <t>tl</t>
    </r>
  </si>
  <si>
    <t>Zbrojenie minimalne rozc.:</t>
  </si>
  <si>
    <t>(dolne  i/lub góne)</t>
  </si>
  <si>
    <t>h*= h lub 1m (h&gt;1m)</t>
  </si>
  <si>
    <t>Wsp. k</t>
  </si>
  <si>
    <r>
      <t>Wsp. k</t>
    </r>
    <r>
      <rPr>
        <vertAlign val="subscript"/>
        <sz val="10"/>
        <rFont val="Arial"/>
        <family val="2"/>
      </rPr>
      <t xml:space="preserve">1 </t>
    </r>
    <r>
      <rPr>
        <sz val="10"/>
        <rFont val="Arial"/>
        <family val="2"/>
      </rPr>
      <t>(N</t>
    </r>
    <r>
      <rPr>
        <vertAlign val="subscript"/>
        <sz val="10"/>
        <rFont val="Arial"/>
        <family val="2"/>
      </rPr>
      <t>Ed1</t>
    </r>
    <r>
      <rPr>
        <sz val="10"/>
        <rFont val="Arial"/>
        <family val="2"/>
      </rPr>
      <t>)</t>
    </r>
  </si>
  <si>
    <r>
      <t>Wsp. k</t>
    </r>
    <r>
      <rPr>
        <vertAlign val="subscript"/>
        <sz val="10"/>
        <rFont val="Arial"/>
        <family val="2"/>
      </rPr>
      <t xml:space="preserve">1 </t>
    </r>
    <r>
      <rPr>
        <sz val="10"/>
        <rFont val="Arial"/>
        <family val="2"/>
      </rPr>
      <t>(N</t>
    </r>
    <r>
      <rPr>
        <vertAlign val="subscript"/>
        <sz val="10"/>
        <rFont val="Arial"/>
        <family val="2"/>
      </rPr>
      <t>Ed2</t>
    </r>
    <r>
      <rPr>
        <sz val="10"/>
        <rFont val="Arial"/>
        <family val="2"/>
      </rPr>
      <t>)</t>
    </r>
  </si>
  <si>
    <t>belka rysy</t>
  </si>
  <si>
    <t>Wymóg  minimalnego stopnia zbrojenia:</t>
  </si>
  <si>
    <t>Wymóg  maksymalnego stopnia zbrojenia:</t>
  </si>
  <si>
    <t>Element</t>
  </si>
  <si>
    <t>LCH-Ż01, v1.0</t>
  </si>
  <si>
    <t>Wersja</t>
  </si>
  <si>
    <t>Zdarzenie</t>
  </si>
  <si>
    <r>
      <t xml:space="preserve">Historia rewizji   </t>
    </r>
    <r>
      <rPr>
        <b/>
        <sz val="12"/>
        <color indexed="60"/>
        <rFont val="Tekton"/>
        <family val="2"/>
      </rPr>
      <t>Kalkulator żelbetu M-N</t>
    </r>
  </si>
  <si>
    <t>Wersja publiczna (free)</t>
  </si>
  <si>
    <t>Do wydania angielskiego RCC12 (1999)</t>
  </si>
  <si>
    <t>Status arkusza</t>
  </si>
  <si>
    <t>Komentarze:</t>
  </si>
  <si>
    <t>Do wydania polskiego CHP-Ż01 (2017)</t>
  </si>
  <si>
    <t>Dla Projektanta:</t>
  </si>
  <si>
    <r>
      <t xml:space="preserve"> </t>
    </r>
    <r>
      <rPr>
        <sz val="10"/>
        <color indexed="10"/>
        <rFont val="Marker"/>
        <charset val="238"/>
      </rPr>
      <t>Czerwone komunikaty</t>
    </r>
    <r>
      <rPr>
        <sz val="10"/>
        <color indexed="17"/>
        <rFont val="Marker"/>
        <charset val="238"/>
      </rPr>
      <t xml:space="preserve">  </t>
    </r>
    <r>
      <rPr>
        <sz val="10"/>
        <rFont val="Marker"/>
        <charset val="238"/>
      </rPr>
      <t>niżej wskazują na błędy danych.</t>
    </r>
  </si>
  <si>
    <t>Zbrojenie maksymalne:</t>
  </si>
  <si>
    <r>
      <t>A</t>
    </r>
    <r>
      <rPr>
        <vertAlign val="subscript"/>
        <sz val="10"/>
        <rFont val="Arial"/>
        <family val="2"/>
      </rPr>
      <t>smaxB</t>
    </r>
    <r>
      <rPr>
        <sz val="10"/>
        <rFont val="Arial"/>
        <family val="2"/>
        <charset val="238"/>
      </rPr>
      <t>=0,04 *b*h</t>
    </r>
  </si>
  <si>
    <t>Prześwit między pretami</t>
  </si>
  <si>
    <r>
      <t>s</t>
    </r>
    <r>
      <rPr>
        <vertAlign val="subscript"/>
        <sz val="10"/>
        <rFont val="Arial"/>
        <family val="2"/>
        <charset val="238"/>
      </rPr>
      <t>min</t>
    </r>
    <r>
      <rPr>
        <sz val="10"/>
        <rFont val="Arial"/>
        <family val="2"/>
        <charset val="238"/>
      </rPr>
      <t>=min{s-F}=</t>
    </r>
  </si>
  <si>
    <t xml:space="preserve">Zred. wysokość  </t>
  </si>
  <si>
    <t>Klasa plast.</t>
  </si>
  <si>
    <t>Projekt rewizja 1.2</t>
  </si>
  <si>
    <t>Kielce/Warszawa</t>
  </si>
  <si>
    <t xml:space="preserve">Wydanie polskie NIE jest tłumaczeniem wydania angielskiego, lecz oryginalnym kalkulatorem, w którym wykorzystano jedynie strukturę wydania angielskiego. Arkusz jest zaimplementowany dla nieliniowego modelu betonu opisanego w normie  Eurokod2 (wydanie polskie PN-EN 1992-1) , a także dla modelu stali ze wzmocnieniem plastycznym. 
Teorię zaimplementowaną w arkuszu opublikowana w artykule:
http://chodor-projekt.net/encyclopedia/nowy-algorytm-projektowania-zelbetu/ 
                                                           </t>
  </si>
  <si>
    <t>LCH-Ż01, v1.2</t>
  </si>
  <si>
    <r>
      <t>A</t>
    </r>
    <r>
      <rPr>
        <vertAlign val="subscript"/>
        <sz val="10"/>
        <rFont val="Arial"/>
        <family val="2"/>
        <charset val="238"/>
      </rPr>
      <t>sminS</t>
    </r>
    <r>
      <rPr>
        <sz val="10"/>
        <rFont val="Arial"/>
        <family val="2"/>
        <charset val="238"/>
      </rPr>
      <t>=max ( 0,10*N</t>
    </r>
    <r>
      <rPr>
        <vertAlign val="subscript"/>
        <sz val="10"/>
        <rFont val="Arial"/>
        <family val="2"/>
        <charset val="238"/>
      </rPr>
      <t>Edmax</t>
    </r>
    <r>
      <rPr>
        <sz val="10"/>
        <rFont val="Arial"/>
        <family val="2"/>
        <charset val="238"/>
      </rPr>
      <t>/f</t>
    </r>
    <r>
      <rPr>
        <vertAlign val="subscript"/>
        <sz val="10"/>
        <rFont val="Arial"/>
        <family val="2"/>
        <charset val="238"/>
      </rPr>
      <t>yd</t>
    </r>
    <r>
      <rPr>
        <sz val="10"/>
        <rFont val="Arial"/>
        <family val="2"/>
        <charset val="238"/>
      </rPr>
      <t>; 0.002*b*h)</t>
    </r>
  </si>
  <si>
    <r>
      <t>A</t>
    </r>
    <r>
      <rPr>
        <vertAlign val="subscript"/>
        <sz val="10"/>
        <rFont val="Arial"/>
        <family val="2"/>
        <charset val="238"/>
      </rPr>
      <t>smaxS</t>
    </r>
    <r>
      <rPr>
        <sz val="10"/>
        <rFont val="Arial"/>
        <family val="2"/>
        <charset val="238"/>
      </rPr>
      <t>=0,4 *b*h</t>
    </r>
  </si>
  <si>
    <t>belka i płyta (dolne ilub górne)</t>
  </si>
  <si>
    <t>słup i ściana (łączne)</t>
  </si>
  <si>
    <t>Wymóg  rozstawu prętów:</t>
  </si>
  <si>
    <t>Rozstaw maksymalny</t>
  </si>
  <si>
    <t>jednokierunkowo</t>
  </si>
  <si>
    <t>dwukierunkowo</t>
  </si>
  <si>
    <r>
      <t>S</t>
    </r>
    <r>
      <rPr>
        <vertAlign val="subscript"/>
        <sz val="10"/>
        <rFont val="Arial"/>
        <family val="2"/>
        <charset val="238"/>
      </rPr>
      <t>maxB</t>
    </r>
    <r>
      <rPr>
        <sz val="10"/>
        <rFont val="Arial"/>
        <family val="2"/>
        <charset val="238"/>
      </rPr>
      <t>=</t>
    </r>
  </si>
  <si>
    <r>
      <t>S</t>
    </r>
    <r>
      <rPr>
        <vertAlign val="subscript"/>
        <sz val="10"/>
        <rFont val="Arial"/>
        <family val="2"/>
        <charset val="238"/>
      </rPr>
      <t>maxS</t>
    </r>
    <r>
      <rPr>
        <sz val="10"/>
        <rFont val="Arial"/>
        <family val="2"/>
        <charset val="238"/>
      </rPr>
      <t>=</t>
    </r>
  </si>
  <si>
    <r>
      <t>dla N</t>
    </r>
    <r>
      <rPr>
        <vertAlign val="subscript"/>
        <sz val="10"/>
        <rFont val="Arial"/>
        <family val="2"/>
        <charset val="238"/>
      </rPr>
      <t xml:space="preserve">Ed1 </t>
    </r>
    <r>
      <rPr>
        <sz val="10"/>
        <rFont val="Arial"/>
        <family val="2"/>
        <charset val="238"/>
      </rPr>
      <t>|</t>
    </r>
  </si>
  <si>
    <r>
      <t>dla N</t>
    </r>
    <r>
      <rPr>
        <vertAlign val="subscript"/>
        <sz val="10"/>
        <rFont val="Arial"/>
        <family val="2"/>
        <charset val="238"/>
      </rPr>
      <t xml:space="preserve">Ed2 </t>
    </r>
    <r>
      <rPr>
        <sz val="10"/>
        <rFont val="Arial"/>
        <family val="2"/>
        <charset val="238"/>
      </rPr>
      <t>|</t>
    </r>
  </si>
  <si>
    <t>Średnice minimalne</t>
  </si>
  <si>
    <r>
      <t>D</t>
    </r>
    <r>
      <rPr>
        <vertAlign val="subscript"/>
        <sz val="10"/>
        <rFont val="Arial"/>
        <family val="2"/>
        <charset val="238"/>
      </rPr>
      <t>minP</t>
    </r>
    <r>
      <rPr>
        <sz val="10"/>
        <rFont val="Arial"/>
        <family val="2"/>
        <charset val="238"/>
      </rPr>
      <t>=</t>
    </r>
  </si>
  <si>
    <t>belka, płyta kruche pękanie</t>
  </si>
  <si>
    <t>słup, ściana</t>
  </si>
  <si>
    <t xml:space="preserve"> Wymogi konstrukcyjne (beton, stal, otulenie):</t>
  </si>
  <si>
    <t xml:space="preserve">  ZGINANIE Z SIŁĄ OSIOWĄ  wg PN-EN 1992 nieliniowy model betonu i stali</t>
  </si>
  <si>
    <r>
      <t xml:space="preserve">Plik </t>
    </r>
    <r>
      <rPr>
        <b/>
        <sz val="8"/>
        <color indexed="10"/>
        <rFont val="Tekton"/>
        <family val="2"/>
      </rPr>
      <t>CHP Ż01 v.1.2.xls</t>
    </r>
    <r>
      <rPr>
        <sz val="8"/>
        <rFont val="Tekton"/>
        <family val="2"/>
      </rPr>
      <t>'  © 2017-2018 Chodor-Projekt na podstawie RCC12  © 1999 BCA for RCC</t>
    </r>
  </si>
  <si>
    <t>Wymóg  średnicy prętów:</t>
  </si>
  <si>
    <t>(na drukarce domyślnej)</t>
  </si>
  <si>
    <t>Opis algorytmu</t>
  </si>
  <si>
    <t>Publiczne wydanie kalkulatora żelbetu,wersja Chodor-Projekt: wg EN 1992 oraz  stal ze wzmocnieniem</t>
  </si>
  <si>
    <t>Rewizja arkusza - wprowadzon drobne proprawki edycyjne i stylistyczne. Dodano kilka warunków konstrukcyjnych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</si>
</sst>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lt;36526]dd\-mmm\-yy;dd\-mmm\-yyyy"/>
    <numFmt numFmtId="165" formatCode="0.000"/>
    <numFmt numFmtId="166" formatCode="0.0"/>
    <numFmt numFmtId="167" formatCode="0.0000"/>
    <numFmt numFmtId="168" formatCode="0.00000"/>
    <numFmt numFmtId="169" formatCode="d\-mmm\-yy"/>
  </numFmts>
  <fonts count="103">
    <font>
      <sz val="10"/>
      <name val="Arial"/>
    </font>
    <font>
      <sz val="12"/>
      <name val="Technical"/>
    </font>
    <font>
      <sz val="12"/>
      <name val="Arial"/>
      <family val="2"/>
      <charset val="238"/>
    </font>
    <font>
      <sz val="12"/>
      <name val="Challenge Extra Bold"/>
    </font>
    <font>
      <sz val="12"/>
      <name val="Symbol"/>
      <family val="1"/>
      <charset val="2"/>
    </font>
    <font>
      <sz val="24"/>
      <color indexed="12"/>
      <name val="Amelia BT"/>
    </font>
    <font>
      <sz val="16"/>
      <color indexed="16"/>
      <name val="Impress BT"/>
    </font>
    <font>
      <i/>
      <sz val="10"/>
      <name val="Arial"/>
      <family val="2"/>
      <charset val="238"/>
    </font>
    <font>
      <b/>
      <sz val="10"/>
      <color indexed="10"/>
      <name val="Arial"/>
      <family val="2"/>
      <charset val="238"/>
    </font>
    <font>
      <sz val="10"/>
      <name val="Technical"/>
      <family val="4"/>
    </font>
    <font>
      <sz val="12"/>
      <name val="Tekton"/>
      <family val="2"/>
    </font>
    <font>
      <sz val="12"/>
      <name val="Marker"/>
      <family val="2"/>
    </font>
    <font>
      <sz val="10"/>
      <name val="Marker"/>
      <family val="2"/>
    </font>
    <font>
      <sz val="16"/>
      <color indexed="12"/>
      <name val="Marker"/>
      <family val="2"/>
    </font>
    <font>
      <sz val="12"/>
      <color indexed="12"/>
      <name val="Marker"/>
      <family val="2"/>
    </font>
    <font>
      <sz val="10"/>
      <name val="Tekton"/>
      <family val="2"/>
    </font>
    <font>
      <sz val="12"/>
      <color indexed="10"/>
      <name val="Tekton"/>
      <family val="2"/>
    </font>
    <font>
      <sz val="8"/>
      <name val="Tekton"/>
      <family val="2"/>
    </font>
    <font>
      <sz val="12"/>
      <color indexed="14"/>
      <name val="Tekton"/>
      <family val="2"/>
    </font>
    <font>
      <sz val="12"/>
      <color indexed="12"/>
      <name val="Tekton"/>
      <family val="2"/>
    </font>
    <font>
      <sz val="12"/>
      <color indexed="18"/>
      <name val="Tekton"/>
      <family val="2"/>
    </font>
    <font>
      <sz val="10"/>
      <color indexed="10"/>
      <name val="Marker"/>
      <family val="2"/>
    </font>
    <font>
      <u/>
      <sz val="12"/>
      <color indexed="12"/>
      <name val="Tekton"/>
      <family val="2"/>
    </font>
    <font>
      <sz val="8"/>
      <name val="Marker"/>
      <family val="2"/>
    </font>
    <font>
      <sz val="10"/>
      <color indexed="16"/>
      <name val="Marker"/>
      <family val="2"/>
    </font>
    <font>
      <sz val="10"/>
      <color indexed="12"/>
      <name val="Marker"/>
      <family val="2"/>
    </font>
    <font>
      <sz val="10"/>
      <color indexed="17"/>
      <name val="Marker"/>
      <family val="2"/>
    </font>
    <font>
      <i/>
      <sz val="12"/>
      <color indexed="17"/>
      <name val="Tekton"/>
      <family val="2"/>
    </font>
    <font>
      <i/>
      <sz val="10"/>
      <color indexed="17"/>
      <name val="Tekton"/>
      <family val="2"/>
    </font>
    <font>
      <sz val="14"/>
      <name val="Challenge Extra Bold"/>
    </font>
    <font>
      <sz val="14"/>
      <name val="Courier New"/>
      <family val="3"/>
      <charset val="238"/>
    </font>
    <font>
      <sz val="14"/>
      <name val="Tekton"/>
      <family val="2"/>
    </font>
    <font>
      <b/>
      <sz val="12"/>
      <color indexed="60"/>
      <name val="Tekton"/>
      <family val="2"/>
    </font>
    <font>
      <sz val="12"/>
      <color indexed="17"/>
      <name val="Tekton"/>
      <family val="2"/>
    </font>
    <font>
      <sz val="12"/>
      <color indexed="60"/>
      <name val="Tekton"/>
      <family val="2"/>
    </font>
    <font>
      <sz val="11"/>
      <color indexed="12"/>
      <name val="Marker"/>
      <family val="2"/>
    </font>
    <font>
      <sz val="16"/>
      <name val="Marker"/>
      <family val="2"/>
    </font>
    <font>
      <sz val="14"/>
      <name val="Marker"/>
      <family val="2"/>
    </font>
    <font>
      <sz val="11"/>
      <name val="Tekton"/>
      <family val="2"/>
    </font>
    <font>
      <b/>
      <sz val="8"/>
      <color indexed="10"/>
      <name val="Tekton"/>
      <family val="2"/>
    </font>
    <font>
      <b/>
      <sz val="11"/>
      <name val="Tekton"/>
      <family val="2"/>
    </font>
    <font>
      <i/>
      <sz val="11"/>
      <name val="Tekton"/>
      <family val="2"/>
    </font>
    <font>
      <sz val="11"/>
      <name val="Arial"/>
      <family val="2"/>
      <charset val="238"/>
    </font>
    <font>
      <sz val="11"/>
      <name val="Symbol"/>
      <family val="1"/>
      <charset val="2"/>
    </font>
    <font>
      <b/>
      <sz val="12"/>
      <color indexed="61"/>
      <name val="Tekton"/>
      <family val="2"/>
    </font>
    <font>
      <sz val="12"/>
      <color indexed="61"/>
      <name val="Tekton"/>
      <family val="2"/>
    </font>
    <font>
      <vertAlign val="subscript"/>
      <sz val="10"/>
      <color indexed="17"/>
      <name val="Marker"/>
      <family val="2"/>
    </font>
    <font>
      <sz val="12"/>
      <color indexed="8"/>
      <name val="Marker"/>
      <family val="2"/>
    </font>
    <font>
      <sz val="10"/>
      <name val="Arial"/>
      <family val="2"/>
      <charset val="238"/>
    </font>
    <font>
      <sz val="14"/>
      <color indexed="18"/>
      <name val="Arial"/>
      <family val="2"/>
      <charset val="238"/>
    </font>
    <font>
      <sz val="14"/>
      <name val="Arial"/>
      <family val="2"/>
      <charset val="238"/>
    </font>
    <font>
      <sz val="11"/>
      <name val="Gill Sans"/>
      <charset val="238"/>
    </font>
    <font>
      <b/>
      <sz val="11"/>
      <color indexed="12"/>
      <name val="Gill Sans"/>
      <charset val="238"/>
    </font>
    <font>
      <b/>
      <sz val="10"/>
      <color indexed="12"/>
      <name val="Gill Sans"/>
      <charset val="238"/>
    </font>
    <font>
      <sz val="10"/>
      <color indexed="12"/>
      <name val="Gill Sans"/>
      <charset val="238"/>
    </font>
    <font>
      <sz val="12"/>
      <name val="Arial"/>
      <family val="2"/>
      <charset val="238"/>
    </font>
    <font>
      <vertAlign val="subscript"/>
      <sz val="12"/>
      <name val="Tekton"/>
      <charset val="238"/>
    </font>
    <font>
      <sz val="12"/>
      <name val="Tekton"/>
      <charset val="238"/>
    </font>
    <font>
      <sz val="11"/>
      <name val="Tekton"/>
      <charset val="238"/>
    </font>
    <font>
      <i/>
      <sz val="10"/>
      <name val="Arial"/>
      <family val="2"/>
      <charset val="238"/>
    </font>
    <font>
      <sz val="10"/>
      <name val="Arial"/>
      <family val="2"/>
      <charset val="238"/>
    </font>
    <font>
      <vertAlign val="subscript"/>
      <sz val="10"/>
      <name val="Arial"/>
      <family val="2"/>
      <charset val="238"/>
    </font>
    <font>
      <vertAlign val="subscript"/>
      <sz val="10"/>
      <name val="Arial"/>
      <family val="2"/>
    </font>
    <font>
      <vertAlign val="subscript"/>
      <sz val="11"/>
      <name val="Tekton"/>
      <charset val="238"/>
    </font>
    <font>
      <vertAlign val="subscript"/>
      <sz val="11"/>
      <name val="Tekton"/>
      <family val="2"/>
    </font>
    <font>
      <sz val="10"/>
      <name val="Tekton"/>
      <charset val="238"/>
    </font>
    <font>
      <i/>
      <sz val="11"/>
      <name val="Arial"/>
      <family val="2"/>
      <charset val="238"/>
    </font>
    <font>
      <sz val="11"/>
      <color indexed="12"/>
      <name val="Arial"/>
      <family val="2"/>
      <charset val="238"/>
    </font>
    <font>
      <vertAlign val="superscript"/>
      <sz val="10"/>
      <name val="Arial"/>
      <family val="2"/>
      <charset val="238"/>
    </font>
    <font>
      <vertAlign val="superscript"/>
      <sz val="12"/>
      <name val="Arial"/>
      <family val="2"/>
      <charset val="238"/>
    </font>
    <font>
      <vertAlign val="superscript"/>
      <sz val="14"/>
      <name val="Arial"/>
      <family val="2"/>
      <charset val="238"/>
    </font>
    <font>
      <vertAlign val="superscript"/>
      <sz val="16"/>
      <name val="Arial"/>
      <family val="2"/>
      <charset val="238"/>
    </font>
    <font>
      <u/>
      <sz val="12"/>
      <name val="Arial"/>
      <family val="2"/>
      <charset val="238"/>
    </font>
    <font>
      <vertAlign val="subscript"/>
      <sz val="12"/>
      <name val="Arial"/>
      <family val="2"/>
      <charset val="238"/>
    </font>
    <font>
      <sz val="16"/>
      <color indexed="16"/>
      <name val="Arial"/>
      <family val="2"/>
      <charset val="238"/>
    </font>
    <font>
      <sz val="12"/>
      <name val="Arial"/>
      <family val="2"/>
    </font>
    <font>
      <vertAlign val="superscript"/>
      <sz val="12"/>
      <name val="Tekton"/>
      <charset val="238"/>
    </font>
    <font>
      <sz val="12"/>
      <color indexed="60"/>
      <name val="Tekton"/>
      <family val="2"/>
    </font>
    <font>
      <b/>
      <sz val="12"/>
      <color indexed="60"/>
      <name val="Tekton"/>
      <family val="2"/>
    </font>
    <font>
      <b/>
      <sz val="12"/>
      <color indexed="25"/>
      <name val="Tekton"/>
      <family val="2"/>
    </font>
    <font>
      <b/>
      <sz val="10"/>
      <color indexed="25"/>
      <name val="Arial"/>
      <family val="2"/>
      <charset val="238"/>
    </font>
    <font>
      <sz val="12"/>
      <color indexed="30"/>
      <name val="Tekton"/>
      <family val="2"/>
    </font>
    <font>
      <sz val="12"/>
      <color indexed="60"/>
      <name val="Tekton"/>
      <charset val="238"/>
    </font>
    <font>
      <sz val="12"/>
      <color indexed="10"/>
      <name val="Tekton"/>
      <charset val="238"/>
    </font>
    <font>
      <b/>
      <sz val="12"/>
      <color indexed="10"/>
      <name val="Arial"/>
      <family val="2"/>
      <charset val="238"/>
    </font>
    <font>
      <b/>
      <vertAlign val="subscript"/>
      <sz val="12"/>
      <color indexed="10"/>
      <name val="Arial"/>
      <family val="2"/>
      <charset val="238"/>
    </font>
    <font>
      <vertAlign val="subscript"/>
      <sz val="14"/>
      <name val="Arial"/>
      <family val="2"/>
      <charset val="238"/>
    </font>
    <font>
      <b/>
      <sz val="12"/>
      <name val="Tekton"/>
      <family val="2"/>
    </font>
    <font>
      <b/>
      <sz val="12"/>
      <color indexed="16"/>
      <name val="Tekton"/>
      <family val="2"/>
    </font>
    <font>
      <sz val="10"/>
      <color indexed="10"/>
      <name val="Tekton"/>
      <charset val="238"/>
    </font>
    <font>
      <sz val="10"/>
      <color indexed="17"/>
      <name val="Marker"/>
      <charset val="238"/>
    </font>
    <font>
      <sz val="10"/>
      <color indexed="10"/>
      <name val="Marker"/>
      <charset val="238"/>
    </font>
    <font>
      <sz val="11"/>
      <color indexed="17"/>
      <name val="Marker"/>
      <charset val="238"/>
    </font>
    <font>
      <sz val="11"/>
      <color indexed="12"/>
      <name val="Marker"/>
      <charset val="238"/>
    </font>
    <font>
      <sz val="10"/>
      <color indexed="53"/>
      <name val="Marker"/>
      <charset val="238"/>
    </font>
    <font>
      <sz val="10"/>
      <name val="Marker"/>
      <charset val="238"/>
    </font>
    <font>
      <sz val="11"/>
      <name val="Marker"/>
      <charset val="238"/>
    </font>
    <font>
      <sz val="10"/>
      <color indexed="53"/>
      <name val="Tekton"/>
      <charset val="238"/>
    </font>
    <font>
      <sz val="10"/>
      <name val="Arial"/>
      <family val="2"/>
    </font>
    <font>
      <vertAlign val="superscript"/>
      <sz val="10"/>
      <name val="Arial"/>
      <family val="2"/>
    </font>
    <font>
      <u/>
      <sz val="10"/>
      <color theme="10"/>
      <name val="Arial"/>
      <family val="2"/>
      <charset val="238"/>
    </font>
    <font>
      <sz val="12"/>
      <color theme="1"/>
      <name val="Marker"/>
      <charset val="238"/>
    </font>
    <font>
      <sz val="12"/>
      <color rgb="FF000000"/>
      <name val="Tekton"/>
    </font>
  </fonts>
  <fills count="7">
    <fill>
      <patternFill patternType="none"/>
    </fill>
    <fill>
      <patternFill patternType="gray125"/>
    </fill>
    <fill>
      <patternFill patternType="solid">
        <fgColor indexed="9"/>
        <bgColor indexed="9"/>
      </patternFill>
    </fill>
    <fill>
      <patternFill patternType="solid">
        <fgColor indexed="9"/>
        <bgColor indexed="64"/>
      </patternFill>
    </fill>
    <fill>
      <patternFill patternType="gray125">
        <fgColor indexed="13"/>
        <bgColor indexed="9"/>
      </patternFill>
    </fill>
    <fill>
      <patternFill patternType="solid">
        <fgColor rgb="FFE8FEF7"/>
        <bgColor indexed="64"/>
      </patternFill>
    </fill>
    <fill>
      <patternFill patternType="solid">
        <fgColor theme="8" tint="0.7999816888943144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thin">
        <color indexed="64"/>
      </left>
      <right/>
      <top/>
      <bottom/>
      <diagonal/>
    </border>
    <border>
      <left style="double">
        <color indexed="64"/>
      </left>
      <right/>
      <top style="double">
        <color indexed="64"/>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s>
  <cellStyleXfs count="2">
    <xf numFmtId="0" fontId="0" fillId="0" borderId="0"/>
    <xf numFmtId="0" fontId="100" fillId="0" borderId="0" applyNumberFormat="0" applyFill="0" applyBorder="0" applyAlignment="0" applyProtection="0"/>
  </cellStyleXfs>
  <cellXfs count="373">
    <xf numFmtId="0" fontId="0" fillId="0" borderId="0" xfId="0"/>
    <xf numFmtId="0" fontId="1" fillId="0" borderId="0" xfId="0" applyFont="1"/>
    <xf numFmtId="0" fontId="1" fillId="2" borderId="0" xfId="0" applyFont="1" applyFill="1"/>
    <xf numFmtId="0" fontId="7" fillId="0" borderId="0" xfId="0" applyFont="1"/>
    <xf numFmtId="0" fontId="10" fillId="2" borderId="0" xfId="0" applyFont="1" applyFill="1" applyAlignment="1">
      <alignment horizontal="center"/>
    </xf>
    <xf numFmtId="0" fontId="22" fillId="0" borderId="1" xfId="0" applyFont="1" applyBorder="1" applyAlignment="1" applyProtection="1">
      <alignment horizontal="center"/>
      <protection locked="0"/>
    </xf>
    <xf numFmtId="0" fontId="22" fillId="0" borderId="2" xfId="0" applyFont="1" applyBorder="1" applyAlignment="1" applyProtection="1">
      <alignment horizontal="center"/>
      <protection locked="0"/>
    </xf>
    <xf numFmtId="2" fontId="10" fillId="0" borderId="0" xfId="0" applyNumberFormat="1" applyFont="1" applyAlignment="1">
      <alignment horizontal="center"/>
    </xf>
    <xf numFmtId="166" fontId="10" fillId="0" borderId="0" xfId="0" applyNumberFormat="1" applyFont="1" applyAlignment="1">
      <alignment horizontal="center"/>
    </xf>
    <xf numFmtId="1" fontId="10" fillId="0" borderId="0" xfId="0" applyNumberFormat="1" applyFont="1" applyAlignment="1">
      <alignment horizontal="center"/>
    </xf>
    <xf numFmtId="2" fontId="19" fillId="0" borderId="0" xfId="0" applyNumberFormat="1" applyFont="1" applyAlignment="1">
      <alignment horizontal="center"/>
    </xf>
    <xf numFmtId="1" fontId="19" fillId="0" borderId="0" xfId="0" applyNumberFormat="1" applyFont="1" applyAlignment="1">
      <alignment horizontal="center"/>
    </xf>
    <xf numFmtId="168" fontId="10" fillId="0" borderId="0" xfId="0" applyNumberFormat="1" applyFont="1" applyAlignment="1">
      <alignment horizontal="center"/>
    </xf>
    <xf numFmtId="168" fontId="19" fillId="0" borderId="0" xfId="0" applyNumberFormat="1" applyFont="1" applyAlignment="1">
      <alignment horizontal="center"/>
    </xf>
    <xf numFmtId="166" fontId="19" fillId="0" borderId="0" xfId="0" applyNumberFormat="1" applyFont="1" applyAlignment="1">
      <alignment horizontal="center"/>
    </xf>
    <xf numFmtId="0" fontId="29" fillId="0" borderId="0" xfId="0" applyFont="1"/>
    <xf numFmtId="0" fontId="30" fillId="0" borderId="0" xfId="0" applyFont="1"/>
    <xf numFmtId="0" fontId="31" fillId="0" borderId="0" xfId="0" applyFont="1" applyAlignment="1">
      <alignment horizontal="center"/>
    </xf>
    <xf numFmtId="0" fontId="30" fillId="0" borderId="0" xfId="0" applyFont="1" applyAlignment="1">
      <alignment horizontal="center"/>
    </xf>
    <xf numFmtId="0" fontId="31" fillId="2" borderId="0" xfId="0" applyFont="1" applyFill="1" applyAlignment="1">
      <alignment horizontal="center"/>
    </xf>
    <xf numFmtId="164" fontId="31" fillId="0" borderId="0" xfId="0" applyNumberFormat="1" applyFont="1" applyBorder="1" applyAlignment="1">
      <alignment horizontal="center"/>
    </xf>
    <xf numFmtId="0" fontId="31" fillId="2" borderId="0" xfId="0" applyFont="1" applyFill="1" applyBorder="1" applyAlignment="1">
      <alignment horizontal="center"/>
    </xf>
    <xf numFmtId="0" fontId="31" fillId="0" borderId="0" xfId="0" applyFont="1" applyBorder="1" applyAlignment="1">
      <alignment horizontal="center"/>
    </xf>
    <xf numFmtId="0" fontId="30" fillId="2" borderId="0" xfId="0" applyFont="1" applyFill="1"/>
    <xf numFmtId="0" fontId="0" fillId="0" borderId="0" xfId="0" applyProtection="1"/>
    <xf numFmtId="0" fontId="12" fillId="0" borderId="0" xfId="0" applyFont="1" applyAlignment="1" applyProtection="1">
      <alignment horizontal="center"/>
    </xf>
    <xf numFmtId="0" fontId="5" fillId="0" borderId="3"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10" fillId="0" borderId="0" xfId="0" applyFont="1" applyAlignment="1" applyProtection="1">
      <alignment horizontal="left"/>
    </xf>
    <xf numFmtId="1" fontId="15" fillId="0" borderId="0" xfId="0" applyNumberFormat="1" applyFont="1" applyProtection="1"/>
    <xf numFmtId="0" fontId="10" fillId="0" borderId="0" xfId="0" applyFont="1" applyProtection="1"/>
    <xf numFmtId="1" fontId="15" fillId="0" borderId="5" xfId="0" applyNumberFormat="1" applyFont="1" applyBorder="1" applyProtection="1"/>
    <xf numFmtId="1" fontId="15" fillId="0" borderId="6" xfId="0" applyNumberFormat="1" applyFont="1" applyBorder="1" applyProtection="1"/>
    <xf numFmtId="0" fontId="10" fillId="0" borderId="0" xfId="0" applyFont="1" applyAlignment="1" applyProtection="1">
      <alignment horizontal="center"/>
    </xf>
    <xf numFmtId="1" fontId="12" fillId="0" borderId="0" xfId="0" applyNumberFormat="1" applyFont="1" applyProtection="1"/>
    <xf numFmtId="1" fontId="17" fillId="0" borderId="0" xfId="0" applyNumberFormat="1" applyFont="1" applyProtection="1"/>
    <xf numFmtId="1" fontId="15" fillId="0" borderId="7" xfId="0" applyNumberFormat="1" applyFont="1" applyBorder="1" applyProtection="1"/>
    <xf numFmtId="1" fontId="15" fillId="0" borderId="8" xfId="0" applyNumberFormat="1" applyFont="1" applyBorder="1" applyProtection="1"/>
    <xf numFmtId="1" fontId="15" fillId="0" borderId="9" xfId="0" applyNumberFormat="1" applyFont="1" applyBorder="1" applyProtection="1"/>
    <xf numFmtId="0" fontId="10" fillId="0" borderId="0" xfId="0" applyFont="1" applyAlignment="1" applyProtection="1">
      <alignment horizontal="centerContinuous"/>
    </xf>
    <xf numFmtId="0" fontId="10" fillId="0" borderId="0" xfId="0" applyFont="1" applyAlignment="1" applyProtection="1">
      <alignment horizontal="right"/>
    </xf>
    <xf numFmtId="0" fontId="18" fillId="0" borderId="0" xfId="0" applyFont="1" applyAlignment="1" applyProtection="1">
      <alignment horizontal="center"/>
    </xf>
    <xf numFmtId="0" fontId="19" fillId="0" borderId="0" xfId="0" applyFont="1" applyAlignment="1" applyProtection="1">
      <alignment horizontal="center"/>
    </xf>
    <xf numFmtId="0" fontId="10" fillId="2" borderId="0" xfId="0" applyFont="1" applyFill="1" applyProtection="1"/>
    <xf numFmtId="0" fontId="10" fillId="2" borderId="0" xfId="0" applyFont="1" applyFill="1" applyAlignment="1" applyProtection="1">
      <alignment horizontal="center"/>
    </xf>
    <xf numFmtId="0" fontId="12" fillId="0" borderId="10" xfId="0" applyFont="1" applyBorder="1" applyAlignment="1" applyProtection="1">
      <alignment horizontal="center"/>
    </xf>
    <xf numFmtId="1" fontId="10" fillId="0" borderId="1" xfId="0" applyNumberFormat="1" applyFont="1" applyBorder="1" applyAlignment="1" applyProtection="1">
      <alignment horizontal="center"/>
    </xf>
    <xf numFmtId="165" fontId="10" fillId="0" borderId="1" xfId="0" applyNumberFormat="1" applyFont="1" applyBorder="1" applyAlignment="1" applyProtection="1">
      <alignment horizontal="center"/>
    </xf>
    <xf numFmtId="166" fontId="10" fillId="0" borderId="1" xfId="0" applyNumberFormat="1" applyFont="1" applyBorder="1" applyAlignment="1" applyProtection="1">
      <alignment horizontal="center"/>
    </xf>
    <xf numFmtId="1" fontId="10" fillId="0" borderId="2" xfId="0" applyNumberFormat="1" applyFont="1" applyBorder="1" applyAlignment="1" applyProtection="1">
      <alignment horizontal="center"/>
    </xf>
    <xf numFmtId="165" fontId="10" fillId="0" borderId="2" xfId="0" applyNumberFormat="1" applyFont="1" applyBorder="1" applyAlignment="1" applyProtection="1">
      <alignment horizontal="center"/>
    </xf>
    <xf numFmtId="166" fontId="10" fillId="0" borderId="2" xfId="0" applyNumberFormat="1" applyFont="1" applyBorder="1" applyAlignment="1" applyProtection="1">
      <alignment horizontal="center"/>
    </xf>
    <xf numFmtId="2" fontId="10" fillId="0" borderId="0" xfId="0" applyNumberFormat="1" applyFont="1" applyAlignment="1" applyProtection="1">
      <alignment horizontal="center"/>
    </xf>
    <xf numFmtId="0" fontId="25" fillId="0" borderId="10" xfId="0" applyFont="1" applyBorder="1" applyAlignment="1" applyProtection="1">
      <alignment horizontal="center"/>
    </xf>
    <xf numFmtId="0" fontId="26" fillId="0" borderId="10" xfId="0" applyFont="1" applyBorder="1" applyAlignment="1" applyProtection="1">
      <alignment horizontal="center"/>
    </xf>
    <xf numFmtId="0" fontId="1" fillId="0" borderId="0" xfId="0" applyFont="1" applyAlignment="1" applyProtection="1">
      <alignment horizontal="center"/>
    </xf>
    <xf numFmtId="1" fontId="13" fillId="0" borderId="11" xfId="0" applyNumberFormat="1" applyFont="1" applyBorder="1" applyAlignment="1" applyProtection="1">
      <alignment horizontal="left" vertical="center"/>
      <protection locked="0"/>
    </xf>
    <xf numFmtId="1" fontId="14" fillId="0" borderId="0" xfId="0" applyNumberFormat="1" applyFont="1" applyAlignment="1" applyProtection="1">
      <alignment horizontal="left"/>
      <protection locked="0"/>
    </xf>
    <xf numFmtId="0" fontId="0" fillId="0" borderId="0" xfId="0" applyBorder="1" applyProtection="1"/>
    <xf numFmtId="0" fontId="22" fillId="0" borderId="0" xfId="0" applyFont="1" applyBorder="1" applyAlignment="1" applyProtection="1">
      <alignment horizontal="center"/>
      <protection locked="0"/>
    </xf>
    <xf numFmtId="0" fontId="4" fillId="0" borderId="0" xfId="0" applyFont="1" applyBorder="1" applyAlignment="1" applyProtection="1">
      <alignment horizontal="right"/>
    </xf>
    <xf numFmtId="0" fontId="12" fillId="0" borderId="0" xfId="0" applyFont="1" applyBorder="1" applyAlignment="1" applyProtection="1">
      <alignment horizontal="center"/>
    </xf>
    <xf numFmtId="0" fontId="19" fillId="0" borderId="0" xfId="0" applyFont="1" applyBorder="1" applyAlignment="1" applyProtection="1">
      <alignment horizontal="center"/>
    </xf>
    <xf numFmtId="0" fontId="23" fillId="0" borderId="0" xfId="0" applyFont="1" applyBorder="1" applyAlignment="1" applyProtection="1">
      <alignment horizontal="center"/>
    </xf>
    <xf numFmtId="0" fontId="12" fillId="0" borderId="0" xfId="0" applyFont="1" applyBorder="1" applyProtection="1"/>
    <xf numFmtId="0" fontId="10" fillId="0" borderId="0" xfId="0" applyFont="1" applyBorder="1" applyAlignment="1" applyProtection="1">
      <alignment horizontal="center"/>
    </xf>
    <xf numFmtId="0" fontId="11" fillId="2" borderId="0" xfId="0" applyFont="1" applyFill="1" applyBorder="1" applyAlignment="1" applyProtection="1">
      <alignment horizontal="right"/>
    </xf>
    <xf numFmtId="0" fontId="10" fillId="2" borderId="0" xfId="0" applyFont="1" applyFill="1" applyBorder="1" applyProtection="1"/>
    <xf numFmtId="0" fontId="10" fillId="0" borderId="0" xfId="0" applyFont="1" applyBorder="1" applyProtection="1"/>
    <xf numFmtId="0" fontId="3" fillId="2" borderId="0" xfId="0" applyFont="1" applyFill="1" applyBorder="1" applyAlignment="1" applyProtection="1">
      <alignment horizontal="centerContinuous"/>
    </xf>
    <xf numFmtId="0" fontId="10" fillId="2" borderId="0" xfId="0" applyFont="1" applyFill="1" applyBorder="1" applyAlignment="1" applyProtection="1">
      <alignment horizontal="centerContinuous"/>
    </xf>
    <xf numFmtId="0" fontId="21" fillId="2" borderId="0" xfId="0" applyFont="1" applyFill="1" applyBorder="1" applyAlignment="1" applyProtection="1">
      <alignment horizontal="centerContinuous"/>
    </xf>
    <xf numFmtId="166" fontId="10" fillId="0" borderId="0" xfId="0" applyNumberFormat="1" applyFont="1" applyBorder="1" applyAlignment="1" applyProtection="1">
      <alignment horizontal="center"/>
    </xf>
    <xf numFmtId="0" fontId="24" fillId="0" borderId="0" xfId="0" applyFont="1" applyBorder="1" applyAlignment="1" applyProtection="1">
      <alignment horizontal="centerContinuous"/>
    </xf>
    <xf numFmtId="2" fontId="10" fillId="0" borderId="0" xfId="0" applyNumberFormat="1" applyFont="1" applyBorder="1" applyAlignment="1" applyProtection="1">
      <alignment horizontal="center"/>
    </xf>
    <xf numFmtId="0" fontId="10" fillId="2" borderId="0" xfId="0" applyFont="1" applyFill="1" applyBorder="1" applyAlignment="1" applyProtection="1">
      <alignment horizontal="center"/>
    </xf>
    <xf numFmtId="0" fontId="15" fillId="0" borderId="0" xfId="0" applyFont="1" applyBorder="1" applyAlignment="1" applyProtection="1">
      <alignment horizontal="left"/>
    </xf>
    <xf numFmtId="0" fontId="0" fillId="0" borderId="0" xfId="0" applyAlignment="1" applyProtection="1">
      <alignment horizontal="center"/>
    </xf>
    <xf numFmtId="1" fontId="35" fillId="0" borderId="12" xfId="0" applyNumberFormat="1" applyFont="1" applyBorder="1" applyAlignment="1" applyProtection="1">
      <alignment horizontal="center"/>
      <protection locked="0"/>
    </xf>
    <xf numFmtId="1" fontId="35" fillId="0" borderId="6" xfId="0" applyNumberFormat="1" applyFont="1" applyBorder="1" applyAlignment="1" applyProtection="1">
      <alignment horizontal="center"/>
      <protection locked="0"/>
    </xf>
    <xf numFmtId="0" fontId="10" fillId="0" borderId="0" xfId="0" quotePrefix="1" applyFont="1" applyBorder="1" applyProtection="1"/>
    <xf numFmtId="0" fontId="40" fillId="0" borderId="0" xfId="0" applyFont="1"/>
    <xf numFmtId="0" fontId="38" fillId="0" borderId="0" xfId="0" applyFont="1"/>
    <xf numFmtId="0" fontId="38" fillId="0" borderId="0" xfId="0" applyFont="1" applyAlignment="1">
      <alignment horizontal="left" vertical="top" wrapText="1"/>
    </xf>
    <xf numFmtId="0" fontId="42" fillId="0" borderId="0" xfId="0" applyFont="1"/>
    <xf numFmtId="169" fontId="35" fillId="0" borderId="13" xfId="0" applyNumberFormat="1" applyFont="1" applyBorder="1" applyAlignment="1" applyProtection="1">
      <alignment horizontal="center"/>
      <protection locked="0"/>
    </xf>
    <xf numFmtId="0" fontId="40" fillId="0" borderId="0" xfId="0" applyFont="1" applyAlignment="1">
      <alignment horizontal="left"/>
    </xf>
    <xf numFmtId="0" fontId="22" fillId="0" borderId="0" xfId="0" applyFont="1" applyBorder="1" applyAlignment="1" applyProtection="1">
      <alignment horizontal="right"/>
      <protection locked="0"/>
    </xf>
    <xf numFmtId="2" fontId="22" fillId="0" borderId="0" xfId="0" applyNumberFormat="1" applyFont="1" applyBorder="1" applyAlignment="1" applyProtection="1">
      <alignment horizontal="center"/>
      <protection locked="0"/>
    </xf>
    <xf numFmtId="1" fontId="49" fillId="0" borderId="11" xfId="0" applyNumberFormat="1" applyFont="1" applyBorder="1" applyAlignment="1" applyProtection="1">
      <alignment vertical="center"/>
    </xf>
    <xf numFmtId="1" fontId="50" fillId="0" borderId="11" xfId="0" applyNumberFormat="1" applyFont="1" applyBorder="1" applyAlignment="1" applyProtection="1">
      <alignment vertical="center"/>
    </xf>
    <xf numFmtId="1" fontId="51" fillId="0" borderId="14" xfId="0" applyNumberFormat="1" applyFont="1" applyBorder="1" applyAlignment="1" applyProtection="1">
      <alignment horizontal="centerContinuous" vertical="center" wrapText="1"/>
      <protection locked="0"/>
    </xf>
    <xf numFmtId="1" fontId="55" fillId="0" borderId="0" xfId="0" applyNumberFormat="1" applyFont="1" applyProtection="1"/>
    <xf numFmtId="1" fontId="50" fillId="0" borderId="0" xfId="0" applyNumberFormat="1" applyFont="1" applyProtection="1"/>
    <xf numFmtId="1" fontId="50" fillId="0" borderId="0" xfId="0" applyNumberFormat="1" applyFont="1" applyAlignment="1" applyProtection="1">
      <alignment horizontal="right"/>
    </xf>
    <xf numFmtId="0" fontId="57" fillId="0" borderId="0" xfId="0" applyFont="1" applyBorder="1" applyAlignment="1" applyProtection="1">
      <alignment horizontal="right"/>
    </xf>
    <xf numFmtId="0" fontId="15" fillId="2" borderId="0" xfId="0" applyFont="1" applyFill="1" applyBorder="1" applyAlignment="1" applyProtection="1">
      <alignment horizontal="left"/>
    </xf>
    <xf numFmtId="0" fontId="59" fillId="0" borderId="0" xfId="0" applyFont="1"/>
    <xf numFmtId="2" fontId="42" fillId="0" borderId="0" xfId="0" applyNumberFormat="1" applyFont="1" applyAlignment="1">
      <alignment horizontal="center"/>
    </xf>
    <xf numFmtId="2" fontId="67" fillId="0" borderId="0" xfId="0" applyNumberFormat="1" applyFont="1" applyAlignment="1">
      <alignment horizontal="center"/>
    </xf>
    <xf numFmtId="0" fontId="68" fillId="0" borderId="0" xfId="0" applyFont="1" applyAlignment="1"/>
    <xf numFmtId="0" fontId="2" fillId="0" borderId="0" xfId="0" applyFont="1" applyAlignment="1"/>
    <xf numFmtId="1" fontId="10" fillId="0" borderId="0" xfId="0" applyNumberFormat="1" applyFont="1" applyBorder="1" applyAlignment="1">
      <alignment horizontal="center"/>
    </xf>
    <xf numFmtId="166" fontId="0" fillId="0" borderId="0" xfId="0" applyNumberFormat="1"/>
    <xf numFmtId="0" fontId="80" fillId="0" borderId="0" xfId="0" applyFont="1"/>
    <xf numFmtId="1" fontId="10" fillId="0" borderId="11" xfId="0" applyNumberFormat="1" applyFont="1" applyBorder="1" applyAlignment="1" applyProtection="1">
      <alignment vertical="center"/>
    </xf>
    <xf numFmtId="1" fontId="10" fillId="0" borderId="0" xfId="0" applyNumberFormat="1" applyFont="1" applyBorder="1" applyProtection="1"/>
    <xf numFmtId="0" fontId="0" fillId="0" borderId="24" xfId="0" applyBorder="1" applyProtection="1"/>
    <xf numFmtId="0" fontId="81" fillId="4" borderId="0" xfId="0" applyFont="1" applyFill="1" applyAlignment="1" applyProtection="1">
      <alignment horizontal="centerContinuous"/>
    </xf>
    <xf numFmtId="0" fontId="0" fillId="3" borderId="0" xfId="0" applyFill="1" applyProtection="1"/>
    <xf numFmtId="0" fontId="57" fillId="0" borderId="0" xfId="0" applyFont="1" applyBorder="1" applyProtection="1"/>
    <xf numFmtId="0" fontId="20" fillId="0" borderId="0" xfId="0" applyFont="1" applyBorder="1" applyProtection="1"/>
    <xf numFmtId="1" fontId="17" fillId="0" borderId="0" xfId="0" applyNumberFormat="1" applyFont="1" applyBorder="1" applyAlignment="1" applyProtection="1">
      <alignment horizontal="left"/>
    </xf>
    <xf numFmtId="1" fontId="50" fillId="0" borderId="0" xfId="0" applyNumberFormat="1" applyFont="1" applyBorder="1" applyAlignment="1" applyProtection="1">
      <alignment horizontal="right"/>
    </xf>
    <xf numFmtId="1" fontId="50" fillId="0" borderId="0" xfId="0" applyNumberFormat="1" applyFont="1" applyBorder="1" applyProtection="1"/>
    <xf numFmtId="1" fontId="35" fillId="0" borderId="7" xfId="0" applyNumberFormat="1" applyFont="1" applyBorder="1" applyAlignment="1" applyProtection="1">
      <alignment horizontal="center"/>
      <protection locked="0"/>
    </xf>
    <xf numFmtId="1" fontId="35" fillId="0" borderId="37" xfId="0" applyNumberFormat="1" applyFont="1" applyBorder="1" applyAlignment="1" applyProtection="1">
      <alignment horizontal="center"/>
      <protection locked="0"/>
    </xf>
    <xf numFmtId="1" fontId="35" fillId="0" borderId="24" xfId="0" applyNumberFormat="1" applyFont="1" applyBorder="1" applyAlignment="1" applyProtection="1">
      <alignment horizontal="center"/>
      <protection locked="0"/>
    </xf>
    <xf numFmtId="0" fontId="17" fillId="0" borderId="8" xfId="0" applyFont="1" applyBorder="1" applyAlignment="1" applyProtection="1">
      <alignment horizontal="left"/>
    </xf>
    <xf numFmtId="0" fontId="57" fillId="0" borderId="18" xfId="0" applyFont="1" applyBorder="1" applyProtection="1"/>
    <xf numFmtId="0" fontId="0" fillId="0" borderId="18" xfId="0" applyBorder="1" applyProtection="1"/>
    <xf numFmtId="0" fontId="0" fillId="0" borderId="15" xfId="0" applyBorder="1" applyProtection="1"/>
    <xf numFmtId="0" fontId="0" fillId="0" borderId="30" xfId="0" applyBorder="1" applyProtection="1"/>
    <xf numFmtId="0" fontId="11" fillId="2" borderId="13" xfId="0" applyFont="1" applyFill="1" applyBorder="1" applyAlignment="1" applyProtection="1">
      <alignment horizontal="left"/>
    </xf>
    <xf numFmtId="0" fontId="20" fillId="0" borderId="30" xfId="0" applyFont="1" applyBorder="1" applyProtection="1"/>
    <xf numFmtId="0" fontId="10" fillId="0" borderId="13" xfId="0" applyFont="1" applyBorder="1" applyAlignment="1" applyProtection="1">
      <alignment horizontal="right"/>
    </xf>
    <xf numFmtId="0" fontId="1" fillId="0" borderId="0" xfId="0" applyFont="1" applyBorder="1" applyAlignment="1" applyProtection="1">
      <alignment horizontal="center"/>
    </xf>
    <xf numFmtId="0" fontId="10" fillId="0" borderId="30" xfId="0" applyFont="1" applyBorder="1" applyProtection="1"/>
    <xf numFmtId="0" fontId="1" fillId="0" borderId="0" xfId="0" applyFont="1" applyBorder="1" applyAlignment="1" applyProtection="1">
      <alignment horizontal="center" shrinkToFit="1"/>
    </xf>
    <xf numFmtId="0" fontId="10" fillId="0" borderId="13" xfId="0" applyFont="1" applyBorder="1" applyProtection="1"/>
    <xf numFmtId="0" fontId="12" fillId="0" borderId="13" xfId="0" applyFont="1" applyBorder="1" applyAlignment="1" applyProtection="1">
      <alignment horizontal="right"/>
    </xf>
    <xf numFmtId="0" fontId="10" fillId="2" borderId="30" xfId="0" applyFont="1" applyFill="1" applyBorder="1" applyProtection="1"/>
    <xf numFmtId="0" fontId="10" fillId="2" borderId="30" xfId="0" applyFont="1" applyFill="1" applyBorder="1" applyAlignment="1" applyProtection="1">
      <alignment horizontal="centerContinuous"/>
    </xf>
    <xf numFmtId="0" fontId="12" fillId="0" borderId="30" xfId="0" applyFont="1" applyBorder="1" applyAlignment="1" applyProtection="1">
      <alignment horizontal="centerContinuous"/>
    </xf>
    <xf numFmtId="0" fontId="10" fillId="2" borderId="13" xfId="0" applyFont="1" applyFill="1" applyBorder="1" applyProtection="1"/>
    <xf numFmtId="0" fontId="10" fillId="0" borderId="16" xfId="0" applyFont="1" applyBorder="1" applyProtection="1"/>
    <xf numFmtId="0" fontId="10" fillId="0" borderId="19" xfId="0" applyFont="1" applyBorder="1" applyProtection="1"/>
    <xf numFmtId="0" fontId="11" fillId="0" borderId="10" xfId="0" applyFont="1" applyBorder="1" applyAlignment="1" applyProtection="1">
      <alignment horizontal="center"/>
    </xf>
    <xf numFmtId="0" fontId="22" fillId="0" borderId="10" xfId="0" applyNumberFormat="1" applyFont="1" applyBorder="1" applyAlignment="1" applyProtection="1">
      <alignment horizontal="center"/>
      <protection locked="0"/>
    </xf>
    <xf numFmtId="0" fontId="11" fillId="0" borderId="19" xfId="0" applyFont="1" applyBorder="1" applyAlignment="1" applyProtection="1">
      <alignment horizontal="left"/>
    </xf>
    <xf numFmtId="0" fontId="11" fillId="0" borderId="17" xfId="0" applyFont="1" applyBorder="1" applyAlignment="1" applyProtection="1">
      <alignment horizontal="left"/>
    </xf>
    <xf numFmtId="0" fontId="17" fillId="0" borderId="13" xfId="0" applyFont="1" applyBorder="1" applyAlignment="1" applyProtection="1">
      <alignment horizontal="left"/>
    </xf>
    <xf numFmtId="0" fontId="11" fillId="2" borderId="0" xfId="0" applyFont="1" applyFill="1" applyBorder="1" applyAlignment="1" applyProtection="1">
      <alignment horizontal="left"/>
    </xf>
    <xf numFmtId="0" fontId="0" fillId="0" borderId="10" xfId="0" applyBorder="1" applyProtection="1"/>
    <xf numFmtId="0" fontId="0" fillId="0" borderId="1" xfId="0" applyBorder="1" applyProtection="1"/>
    <xf numFmtId="0" fontId="0" fillId="0" borderId="38" xfId="0" applyBorder="1" applyAlignment="1" applyProtection="1">
      <alignment horizontal="center"/>
    </xf>
    <xf numFmtId="0" fontId="48" fillId="0" borderId="10" xfId="0" applyFont="1" applyBorder="1" applyProtection="1"/>
    <xf numFmtId="166" fontId="38" fillId="2" borderId="10" xfId="0" applyNumberFormat="1" applyFont="1" applyFill="1" applyBorder="1" applyAlignment="1">
      <alignment horizontal="center" vertical="center"/>
    </xf>
    <xf numFmtId="0" fontId="38" fillId="0" borderId="10" xfId="0" applyFont="1" applyBorder="1" applyAlignment="1">
      <alignment horizontal="center" vertical="center" wrapText="1"/>
    </xf>
    <xf numFmtId="164" fontId="38" fillId="0" borderId="39" xfId="0" applyNumberFormat="1" applyFont="1" applyBorder="1" applyAlignment="1">
      <alignment horizontal="center" vertical="center"/>
    </xf>
    <xf numFmtId="164" fontId="38" fillId="0" borderId="40" xfId="0" applyNumberFormat="1" applyFont="1" applyBorder="1" applyAlignment="1">
      <alignment horizontal="center" vertical="center"/>
    </xf>
    <xf numFmtId="166" fontId="38" fillId="2" borderId="41" xfId="0" applyNumberFormat="1" applyFont="1" applyFill="1" applyBorder="1" applyAlignment="1">
      <alignment horizontal="center" vertical="center"/>
    </xf>
    <xf numFmtId="0" fontId="38" fillId="0" borderId="41" xfId="0" applyFont="1" applyBorder="1" applyAlignment="1">
      <alignment horizontal="center" vertical="center" wrapText="1"/>
    </xf>
    <xf numFmtId="0" fontId="14" fillId="0" borderId="42" xfId="0" applyFont="1" applyBorder="1" applyAlignment="1">
      <alignment horizontal="center"/>
    </xf>
    <xf numFmtId="0" fontId="14" fillId="2" borderId="43" xfId="0" applyFont="1" applyFill="1" applyBorder="1" applyAlignment="1">
      <alignment horizontal="center"/>
    </xf>
    <xf numFmtId="0" fontId="14" fillId="0" borderId="43" xfId="0" applyFont="1" applyBorder="1" applyAlignment="1">
      <alignment horizontal="center"/>
    </xf>
    <xf numFmtId="0" fontId="0" fillId="0" borderId="0" xfId="0" applyFill="1" applyProtection="1"/>
    <xf numFmtId="0" fontId="87" fillId="0" borderId="0" xfId="0" applyFont="1" applyFill="1" applyProtection="1"/>
    <xf numFmtId="0" fontId="92" fillId="5" borderId="0" xfId="0" applyFont="1" applyFill="1" applyAlignment="1" applyProtection="1">
      <alignment horizontal="left"/>
    </xf>
    <xf numFmtId="0" fontId="90" fillId="5" borderId="0" xfId="0" applyFont="1" applyFill="1" applyAlignment="1" applyProtection="1">
      <alignment horizontal="left"/>
    </xf>
    <xf numFmtId="0" fontId="94" fillId="5" borderId="0" xfId="0" applyFont="1" applyFill="1" applyAlignment="1" applyProtection="1">
      <alignment horizontal="left"/>
    </xf>
    <xf numFmtId="0" fontId="12" fillId="5" borderId="0" xfId="0" applyFont="1" applyFill="1" applyProtection="1"/>
    <xf numFmtId="0" fontId="89" fillId="5" borderId="0" xfId="0" applyFont="1" applyFill="1" applyAlignment="1" applyProtection="1">
      <alignment horizontal="left"/>
    </xf>
    <xf numFmtId="0" fontId="97" fillId="5" borderId="0" xfId="0" applyFont="1" applyFill="1" applyAlignment="1" applyProtection="1">
      <alignment horizontal="left"/>
    </xf>
    <xf numFmtId="0" fontId="87" fillId="5" borderId="0" xfId="0" applyFont="1" applyFill="1" applyProtection="1"/>
    <xf numFmtId="0" fontId="88" fillId="5" borderId="0" xfId="0" applyFont="1" applyFill="1" applyProtection="1"/>
    <xf numFmtId="0" fontId="101" fillId="6" borderId="0" xfId="0" applyFont="1" applyFill="1" applyAlignment="1" applyProtection="1">
      <alignment horizontal="left"/>
    </xf>
    <xf numFmtId="0" fontId="22" fillId="0" borderId="0" xfId="0" applyFont="1" applyBorder="1" applyAlignment="1" applyProtection="1">
      <alignment horizontal="right"/>
    </xf>
    <xf numFmtId="0" fontId="22" fillId="0" borderId="18" xfId="0" applyFont="1" applyBorder="1" applyAlignment="1" applyProtection="1">
      <alignment horizontal="right"/>
    </xf>
    <xf numFmtId="0" fontId="38" fillId="0" borderId="0" xfId="0" applyFont="1" applyAlignment="1">
      <alignment horizontal="justify" vertical="top" wrapText="1"/>
    </xf>
    <xf numFmtId="0" fontId="15" fillId="2" borderId="0" xfId="0" applyFont="1" applyFill="1" applyBorder="1" applyAlignment="1" applyProtection="1">
      <alignment horizontal="centerContinuous"/>
    </xf>
    <xf numFmtId="0" fontId="0" fillId="0" borderId="0" xfId="0" applyProtection="1">
      <protection hidden="1"/>
    </xf>
    <xf numFmtId="1" fontId="71" fillId="0" borderId="25" xfId="0" applyNumberFormat="1" applyFont="1" applyBorder="1" applyAlignment="1" applyProtection="1">
      <alignment vertical="top"/>
      <protection hidden="1"/>
    </xf>
    <xf numFmtId="1" fontId="71" fillId="0" borderId="11" xfId="0" applyNumberFormat="1" applyFont="1" applyBorder="1" applyAlignment="1" applyProtection="1">
      <alignment vertical="top"/>
      <protection hidden="1"/>
    </xf>
    <xf numFmtId="1" fontId="36" fillId="0" borderId="11" xfId="0" applyNumberFormat="1" applyFont="1" applyBorder="1" applyAlignment="1" applyProtection="1">
      <alignment vertical="top"/>
      <protection hidden="1"/>
    </xf>
    <xf numFmtId="0" fontId="59" fillId="0" borderId="11" xfId="0" applyFont="1" applyBorder="1" applyProtection="1">
      <protection hidden="1"/>
    </xf>
    <xf numFmtId="0" fontId="1" fillId="2" borderId="11" xfId="0" applyFont="1" applyFill="1" applyBorder="1" applyProtection="1">
      <protection hidden="1"/>
    </xf>
    <xf numFmtId="0" fontId="15" fillId="0" borderId="11" xfId="0" applyFont="1" applyBorder="1" applyAlignment="1" applyProtection="1">
      <alignment vertical="top"/>
      <protection hidden="1"/>
    </xf>
    <xf numFmtId="0" fontId="15" fillId="0" borderId="11" xfId="0" applyFont="1" applyBorder="1" applyAlignment="1" applyProtection="1">
      <alignment horizontal="center" vertical="top"/>
      <protection hidden="1"/>
    </xf>
    <xf numFmtId="0" fontId="15" fillId="0" borderId="11" xfId="0" applyFont="1" applyBorder="1" applyProtection="1">
      <protection hidden="1"/>
    </xf>
    <xf numFmtId="0" fontId="27" fillId="0" borderId="11" xfId="0" applyFont="1" applyBorder="1" applyAlignment="1" applyProtection="1">
      <alignment horizontal="left" shrinkToFit="1"/>
      <protection hidden="1"/>
    </xf>
    <xf numFmtId="0" fontId="0" fillId="0" borderId="11" xfId="0" applyBorder="1" applyProtection="1">
      <protection hidden="1"/>
    </xf>
    <xf numFmtId="0" fontId="1" fillId="0" borderId="11" xfId="0" applyFont="1" applyBorder="1" applyProtection="1">
      <protection hidden="1"/>
    </xf>
    <xf numFmtId="1" fontId="15" fillId="0" borderId="11" xfId="0" applyNumberFormat="1" applyFont="1" applyBorder="1" applyAlignment="1" applyProtection="1">
      <alignment vertical="top"/>
      <protection hidden="1"/>
    </xf>
    <xf numFmtId="0" fontId="80" fillId="0" borderId="11" xfId="0" applyFont="1" applyBorder="1" applyProtection="1">
      <protection hidden="1"/>
    </xf>
    <xf numFmtId="166" fontId="0" fillId="0" borderId="11" xfId="0" applyNumberFormat="1" applyBorder="1" applyProtection="1">
      <protection hidden="1"/>
    </xf>
    <xf numFmtId="0" fontId="48" fillId="0" borderId="11" xfId="0" applyFont="1" applyBorder="1" applyProtection="1">
      <protection hidden="1"/>
    </xf>
    <xf numFmtId="0" fontId="15" fillId="0" borderId="26" xfId="0" applyFont="1" applyBorder="1" applyProtection="1">
      <protection hidden="1"/>
    </xf>
    <xf numFmtId="1" fontId="71" fillId="0" borderId="7" xfId="0" applyNumberFormat="1" applyFont="1" applyBorder="1" applyAlignment="1" applyProtection="1">
      <alignment vertical="top"/>
      <protection hidden="1"/>
    </xf>
    <xf numFmtId="1" fontId="71" fillId="0" borderId="0" xfId="0" applyNumberFormat="1" applyFont="1" applyBorder="1" applyAlignment="1" applyProtection="1">
      <alignment vertical="top"/>
      <protection hidden="1"/>
    </xf>
    <xf numFmtId="1" fontId="36" fillId="0" borderId="0" xfId="0" applyNumberFormat="1" applyFont="1" applyBorder="1" applyAlignment="1" applyProtection="1">
      <alignment vertical="top"/>
      <protection hidden="1"/>
    </xf>
    <xf numFmtId="0" fontId="59" fillId="0" borderId="0" xfId="0" applyFont="1" applyBorder="1" applyProtection="1">
      <protection hidden="1"/>
    </xf>
    <xf numFmtId="0" fontId="1" fillId="2" borderId="0" xfId="0" applyFont="1" applyFill="1" applyBorder="1" applyProtection="1">
      <protection hidden="1"/>
    </xf>
    <xf numFmtId="0" fontId="15" fillId="0" borderId="0" xfId="0" applyFont="1" applyBorder="1" applyAlignment="1" applyProtection="1">
      <alignment vertical="top"/>
      <protection hidden="1"/>
    </xf>
    <xf numFmtId="0" fontId="15" fillId="0" borderId="0" xfId="0" applyFont="1" applyBorder="1" applyAlignment="1" applyProtection="1">
      <alignment horizontal="center" vertical="top"/>
      <protection hidden="1"/>
    </xf>
    <xf numFmtId="0" fontId="0" fillId="0" borderId="0" xfId="0" applyBorder="1" applyProtection="1">
      <protection hidden="1"/>
    </xf>
    <xf numFmtId="0" fontId="15" fillId="0" borderId="0" xfId="0" applyFont="1" applyBorder="1" applyProtection="1">
      <protection hidden="1"/>
    </xf>
    <xf numFmtId="0" fontId="10" fillId="0" borderId="0" xfId="0" applyNumberFormat="1" applyFont="1" applyBorder="1" applyAlignment="1" applyProtection="1">
      <alignment horizontal="right"/>
      <protection hidden="1"/>
    </xf>
    <xf numFmtId="0" fontId="1" fillId="0" borderId="0" xfId="0" applyFont="1" applyBorder="1" applyProtection="1">
      <protection hidden="1"/>
    </xf>
    <xf numFmtId="1" fontId="15" fillId="0" borderId="0" xfId="0" applyNumberFormat="1" applyFont="1" applyBorder="1" applyAlignment="1" applyProtection="1">
      <alignment vertical="top"/>
      <protection hidden="1"/>
    </xf>
    <xf numFmtId="0" fontId="80" fillId="0" borderId="0" xfId="0" applyFont="1" applyBorder="1" applyProtection="1">
      <protection hidden="1"/>
    </xf>
    <xf numFmtId="166" fontId="0" fillId="0" borderId="0" xfId="0" applyNumberFormat="1" applyBorder="1" applyProtection="1">
      <protection hidden="1"/>
    </xf>
    <xf numFmtId="0" fontId="0" fillId="0" borderId="0" xfId="0" applyBorder="1" applyAlignment="1" applyProtection="1">
      <alignment horizontal="right"/>
      <protection hidden="1"/>
    </xf>
    <xf numFmtId="0" fontId="15" fillId="3" borderId="24" xfId="0" applyFont="1" applyFill="1" applyBorder="1" applyProtection="1">
      <protection hidden="1"/>
    </xf>
    <xf numFmtId="0" fontId="71" fillId="0" borderId="27" xfId="0" applyFont="1" applyBorder="1" applyAlignment="1" applyProtection="1">
      <alignment vertical="top"/>
      <protection hidden="1"/>
    </xf>
    <xf numFmtId="0" fontId="71" fillId="0" borderId="28" xfId="0" applyFont="1" applyBorder="1" applyAlignment="1" applyProtection="1">
      <alignment vertical="top"/>
      <protection hidden="1"/>
    </xf>
    <xf numFmtId="1" fontId="37" fillId="3" borderId="28" xfId="0" applyNumberFormat="1" applyFont="1" applyFill="1" applyBorder="1" applyAlignment="1" applyProtection="1">
      <alignment vertical="top"/>
      <protection hidden="1"/>
    </xf>
    <xf numFmtId="0" fontId="59" fillId="0" borderId="28" xfId="0" applyFont="1" applyBorder="1" applyProtection="1">
      <protection hidden="1"/>
    </xf>
    <xf numFmtId="0" fontId="1" fillId="2" borderId="28" xfId="0" applyFont="1" applyFill="1" applyBorder="1" applyProtection="1">
      <protection hidden="1"/>
    </xf>
    <xf numFmtId="0" fontId="15" fillId="3" borderId="28" xfId="0" applyFont="1" applyFill="1" applyBorder="1" applyAlignment="1" applyProtection="1">
      <alignment vertical="top"/>
      <protection hidden="1"/>
    </xf>
    <xf numFmtId="0" fontId="15" fillId="3" borderId="28" xfId="0" applyFont="1" applyFill="1" applyBorder="1" applyAlignment="1" applyProtection="1">
      <alignment horizontal="center" vertical="top"/>
      <protection hidden="1"/>
    </xf>
    <xf numFmtId="0" fontId="15" fillId="3" borderId="28" xfId="0" applyFont="1" applyFill="1" applyBorder="1" applyProtection="1">
      <protection hidden="1"/>
    </xf>
    <xf numFmtId="0" fontId="0" fillId="0" borderId="28" xfId="0" applyBorder="1" applyProtection="1">
      <protection hidden="1"/>
    </xf>
    <xf numFmtId="169" fontId="10" fillId="0" borderId="28" xfId="0" applyNumberFormat="1" applyFont="1" applyBorder="1" applyAlignment="1" applyProtection="1">
      <alignment horizontal="right"/>
      <protection hidden="1"/>
    </xf>
    <xf numFmtId="169" fontId="10" fillId="0" borderId="28" xfId="0" applyNumberFormat="1" applyFont="1" applyBorder="1" applyAlignment="1" applyProtection="1">
      <alignment horizontal="left"/>
      <protection hidden="1"/>
    </xf>
    <xf numFmtId="0" fontId="1" fillId="0" borderId="28" xfId="0" applyFont="1" applyBorder="1" applyProtection="1">
      <protection hidden="1"/>
    </xf>
    <xf numFmtId="1" fontId="15" fillId="0" borderId="28" xfId="0" applyNumberFormat="1" applyFont="1" applyBorder="1" applyAlignment="1" applyProtection="1">
      <alignment vertical="top"/>
      <protection hidden="1"/>
    </xf>
    <xf numFmtId="0" fontId="15" fillId="0" borderId="28" xfId="0" applyFont="1" applyBorder="1" applyProtection="1">
      <protection hidden="1"/>
    </xf>
    <xf numFmtId="0" fontId="80" fillId="0" borderId="28" xfId="0" applyFont="1" applyBorder="1" applyProtection="1">
      <protection hidden="1"/>
    </xf>
    <xf numFmtId="166" fontId="0" fillId="0" borderId="28" xfId="0" applyNumberFormat="1" applyBorder="1" applyProtection="1">
      <protection hidden="1"/>
    </xf>
    <xf numFmtId="0" fontId="0" fillId="0" borderId="28" xfId="0" applyBorder="1" applyAlignment="1" applyProtection="1">
      <alignment horizontal="right"/>
      <protection hidden="1"/>
    </xf>
    <xf numFmtId="169" fontId="0" fillId="0" borderId="28" xfId="0" applyNumberFormat="1" applyBorder="1" applyAlignment="1" applyProtection="1">
      <alignment horizontal="left"/>
      <protection hidden="1"/>
    </xf>
    <xf numFmtId="0" fontId="15" fillId="3" borderId="29" xfId="0" applyFont="1" applyFill="1" applyBorder="1" applyProtection="1">
      <protection hidden="1"/>
    </xf>
    <xf numFmtId="0" fontId="59" fillId="0" borderId="0" xfId="0" applyFont="1" applyProtection="1">
      <protection hidden="1"/>
    </xf>
    <xf numFmtId="0" fontId="1" fillId="2" borderId="0" xfId="0" applyFont="1" applyFill="1" applyProtection="1">
      <protection hidden="1"/>
    </xf>
    <xf numFmtId="167" fontId="10" fillId="0" borderId="0" xfId="0" applyNumberFormat="1" applyFont="1" applyAlignment="1" applyProtection="1">
      <alignment horizontal="center"/>
      <protection hidden="1"/>
    </xf>
    <xf numFmtId="0" fontId="10" fillId="0" borderId="0" xfId="0" applyFont="1" applyAlignment="1" applyProtection="1">
      <alignment horizontal="center"/>
      <protection hidden="1"/>
    </xf>
    <xf numFmtId="0" fontId="80" fillId="0" borderId="0" xfId="0" applyFont="1" applyProtection="1">
      <protection hidden="1"/>
    </xf>
    <xf numFmtId="166" fontId="0" fillId="0" borderId="0" xfId="0" applyNumberFormat="1" applyProtection="1">
      <protection hidden="1"/>
    </xf>
    <xf numFmtId="0" fontId="48" fillId="0" borderId="0" xfId="0" applyFont="1" applyAlignment="1" applyProtection="1">
      <alignment shrinkToFit="1"/>
      <protection hidden="1"/>
    </xf>
    <xf numFmtId="0" fontId="2" fillId="0" borderId="0" xfId="0" applyFont="1" applyAlignment="1" applyProtection="1">
      <alignment horizontal="right"/>
      <protection hidden="1"/>
    </xf>
    <xf numFmtId="0" fontId="2" fillId="0" borderId="0" xfId="0" applyFont="1" applyAlignment="1" applyProtection="1">
      <protection hidden="1"/>
    </xf>
    <xf numFmtId="2" fontId="10" fillId="0" borderId="0" xfId="0" applyNumberFormat="1" applyFont="1" applyAlignment="1" applyProtection="1">
      <alignment horizontal="center"/>
      <protection hidden="1"/>
    </xf>
    <xf numFmtId="0" fontId="7" fillId="0" borderId="0" xfId="0" applyFont="1" applyProtection="1">
      <protection hidden="1"/>
    </xf>
    <xf numFmtId="167" fontId="1" fillId="2" borderId="0" xfId="0" applyNumberFormat="1" applyFont="1" applyFill="1" applyProtection="1">
      <protection hidden="1"/>
    </xf>
    <xf numFmtId="0" fontId="60" fillId="0" borderId="0" xfId="0" applyFont="1" applyProtection="1">
      <protection hidden="1"/>
    </xf>
    <xf numFmtId="0" fontId="10" fillId="0" borderId="0" xfId="0" applyFont="1" applyAlignment="1" applyProtection="1">
      <alignment horizontal="right"/>
      <protection hidden="1"/>
    </xf>
    <xf numFmtId="0" fontId="48" fillId="0" borderId="0" xfId="0" applyFont="1" applyProtection="1">
      <protection hidden="1"/>
    </xf>
    <xf numFmtId="0" fontId="0" fillId="0" borderId="0" xfId="0" applyAlignment="1" applyProtection="1">
      <alignment horizontal="left"/>
      <protection hidden="1"/>
    </xf>
    <xf numFmtId="166" fontId="10" fillId="0" borderId="0" xfId="0" applyNumberFormat="1" applyFont="1" applyAlignment="1" applyProtection="1">
      <alignment horizontal="center"/>
      <protection hidden="1"/>
    </xf>
    <xf numFmtId="0" fontId="0" fillId="0" borderId="0" xfId="0" applyAlignment="1" applyProtection="1">
      <alignment shrinkToFit="1"/>
      <protection hidden="1"/>
    </xf>
    <xf numFmtId="1" fontId="10" fillId="0" borderId="0" xfId="0" applyNumberFormat="1" applyFont="1" applyAlignment="1" applyProtection="1">
      <alignment horizontal="center"/>
      <protection hidden="1"/>
    </xf>
    <xf numFmtId="0" fontId="48" fillId="0" borderId="0" xfId="0" applyFont="1" applyAlignment="1" applyProtection="1">
      <alignment horizontal="right"/>
      <protection hidden="1"/>
    </xf>
    <xf numFmtId="0" fontId="48" fillId="0" borderId="0" xfId="0" applyFont="1" applyAlignment="1" applyProtection="1">
      <protection hidden="1"/>
    </xf>
    <xf numFmtId="0" fontId="58" fillId="0" borderId="0" xfId="0" applyFont="1" applyAlignment="1" applyProtection="1">
      <alignment horizontal="right" shrinkToFit="1"/>
      <protection hidden="1"/>
    </xf>
    <xf numFmtId="0" fontId="57" fillId="0" borderId="0" xfId="0" applyFont="1" applyAlignment="1" applyProtection="1">
      <alignment horizontal="left"/>
      <protection hidden="1"/>
    </xf>
    <xf numFmtId="165" fontId="10" fillId="0" borderId="0" xfId="0" applyNumberFormat="1" applyFont="1" applyAlignment="1" applyProtection="1">
      <alignment horizontal="center"/>
      <protection hidden="1"/>
    </xf>
    <xf numFmtId="0" fontId="1" fillId="0" borderId="0" xfId="0" applyFont="1" applyProtection="1">
      <protection hidden="1"/>
    </xf>
    <xf numFmtId="0" fontId="48" fillId="0" borderId="0" xfId="0" applyFont="1" applyAlignment="1" applyProtection="1">
      <alignment horizontal="center"/>
      <protection hidden="1"/>
    </xf>
    <xf numFmtId="2" fontId="10" fillId="0" borderId="0" xfId="0" applyNumberFormat="1" applyFont="1" applyBorder="1" applyAlignment="1" applyProtection="1">
      <alignment horizontal="center"/>
      <protection hidden="1"/>
    </xf>
    <xf numFmtId="0" fontId="2" fillId="0" borderId="0" xfId="0" applyFont="1" applyAlignment="1" applyProtection="1">
      <alignment horizontal="left"/>
      <protection hidden="1"/>
    </xf>
    <xf numFmtId="168" fontId="10" fillId="0" borderId="0" xfId="0" applyNumberFormat="1" applyFont="1" applyAlignment="1" applyProtection="1">
      <alignment horizontal="center"/>
      <protection hidden="1"/>
    </xf>
    <xf numFmtId="0" fontId="10" fillId="0" borderId="0" xfId="0" applyFont="1" applyAlignment="1" applyProtection="1">
      <alignment horizontal="left"/>
      <protection hidden="1"/>
    </xf>
    <xf numFmtId="0" fontId="48" fillId="0" borderId="0" xfId="0" applyFont="1" applyAlignment="1" applyProtection="1">
      <alignment horizontal="left" shrinkToFit="1"/>
      <protection hidden="1"/>
    </xf>
    <xf numFmtId="0" fontId="48" fillId="0" borderId="0" xfId="0" applyFont="1" applyAlignment="1" applyProtection="1">
      <alignment horizontal="center" shrinkToFit="1"/>
      <protection hidden="1"/>
    </xf>
    <xf numFmtId="0" fontId="10" fillId="0" borderId="0" xfId="0" applyFont="1" applyProtection="1">
      <protection hidden="1"/>
    </xf>
    <xf numFmtId="0" fontId="68" fillId="0" borderId="0" xfId="0" applyFont="1" applyAlignment="1" applyProtection="1">
      <protection hidden="1"/>
    </xf>
    <xf numFmtId="0" fontId="10" fillId="2" borderId="0" xfId="0" applyFont="1" applyFill="1" applyProtection="1">
      <protection hidden="1"/>
    </xf>
    <xf numFmtId="0" fontId="84" fillId="0" borderId="0" xfId="0" applyFont="1" applyBorder="1" applyAlignment="1" applyProtection="1">
      <alignment horizontal="center"/>
      <protection hidden="1"/>
    </xf>
    <xf numFmtId="0" fontId="28" fillId="0" borderId="0" xfId="0" applyFont="1" applyBorder="1" applyAlignment="1" applyProtection="1">
      <alignment horizontal="left"/>
      <protection hidden="1"/>
    </xf>
    <xf numFmtId="0" fontId="48" fillId="0" borderId="0" xfId="0" applyFont="1" applyBorder="1" applyAlignment="1" applyProtection="1">
      <alignment horizontal="right"/>
      <protection hidden="1"/>
    </xf>
    <xf numFmtId="0" fontId="0" fillId="0" borderId="0" xfId="0" applyBorder="1" applyAlignment="1" applyProtection="1">
      <alignment horizontal="left"/>
      <protection hidden="1"/>
    </xf>
    <xf numFmtId="2" fontId="10" fillId="0" borderId="0" xfId="0" applyNumberFormat="1" applyFont="1" applyBorder="1" applyAlignment="1" applyProtection="1">
      <alignment horizontal="right"/>
      <protection hidden="1"/>
    </xf>
    <xf numFmtId="2" fontId="10" fillId="0" borderId="0" xfId="0" applyNumberFormat="1" applyFont="1" applyBorder="1" applyAlignment="1" applyProtection="1">
      <alignment horizontal="left"/>
      <protection hidden="1"/>
    </xf>
    <xf numFmtId="0" fontId="8" fillId="0" borderId="0" xfId="0" applyFont="1" applyBorder="1" applyAlignment="1" applyProtection="1">
      <alignment horizontal="center"/>
      <protection hidden="1"/>
    </xf>
    <xf numFmtId="2" fontId="10" fillId="0" borderId="0" xfId="0" applyNumberFormat="1" applyFont="1" applyAlignment="1" applyProtection="1">
      <alignment horizontal="left"/>
      <protection hidden="1"/>
    </xf>
    <xf numFmtId="0" fontId="28" fillId="0" borderId="0" xfId="0" applyFont="1" applyAlignment="1" applyProtection="1">
      <alignment horizontal="left"/>
      <protection hidden="1"/>
    </xf>
    <xf numFmtId="0" fontId="84" fillId="0" borderId="0" xfId="0" applyFont="1" applyAlignment="1" applyProtection="1">
      <alignment horizontal="center"/>
      <protection hidden="1"/>
    </xf>
    <xf numFmtId="0" fontId="2" fillId="0" borderId="34" xfId="0" applyFont="1" applyBorder="1" applyAlignment="1" applyProtection="1">
      <alignment horizontal="center"/>
      <protection hidden="1"/>
    </xf>
    <xf numFmtId="0" fontId="2" fillId="0" borderId="22" xfId="0" applyFont="1" applyBorder="1" applyAlignment="1" applyProtection="1">
      <protection hidden="1"/>
    </xf>
    <xf numFmtId="0" fontId="59" fillId="0" borderId="22" xfId="0" applyFont="1" applyBorder="1" applyProtection="1">
      <protection hidden="1"/>
    </xf>
    <xf numFmtId="0" fontId="1" fillId="2" borderId="22" xfId="0" applyFont="1" applyFill="1" applyBorder="1" applyProtection="1">
      <protection hidden="1"/>
    </xf>
    <xf numFmtId="2" fontId="10" fillId="0" borderId="22" xfId="0" applyNumberFormat="1" applyFont="1" applyBorder="1" applyAlignment="1" applyProtection="1">
      <alignment horizontal="center"/>
      <protection hidden="1"/>
    </xf>
    <xf numFmtId="2" fontId="82" fillId="0" borderId="22" xfId="0" applyNumberFormat="1" applyFont="1" applyBorder="1" applyAlignment="1" applyProtection="1">
      <alignment horizontal="center"/>
      <protection hidden="1"/>
    </xf>
    <xf numFmtId="2" fontId="83" fillId="0" borderId="22" xfId="0" applyNumberFormat="1" applyFont="1" applyBorder="1" applyAlignment="1" applyProtection="1">
      <alignment horizontal="center"/>
      <protection hidden="1"/>
    </xf>
    <xf numFmtId="166" fontId="10" fillId="0" borderId="22" xfId="0" applyNumberFormat="1" applyFont="1" applyBorder="1" applyAlignment="1" applyProtection="1">
      <alignment horizontal="center"/>
      <protection hidden="1"/>
    </xf>
    <xf numFmtId="2" fontId="83" fillId="0" borderId="33" xfId="0" applyNumberFormat="1" applyFont="1" applyBorder="1" applyAlignment="1" applyProtection="1">
      <alignment horizontal="center"/>
      <protection hidden="1"/>
    </xf>
    <xf numFmtId="0" fontId="72" fillId="0" borderId="35" xfId="0" applyFont="1" applyBorder="1" applyAlignment="1" applyProtection="1">
      <alignment horizontal="center" vertical="center"/>
      <protection hidden="1"/>
    </xf>
    <xf numFmtId="0" fontId="2" fillId="0" borderId="0" xfId="0" quotePrefix="1" applyFont="1" applyBorder="1" applyAlignment="1" applyProtection="1">
      <protection hidden="1"/>
    </xf>
    <xf numFmtId="165" fontId="10" fillId="0" borderId="0" xfId="0" applyNumberFormat="1" applyFont="1" applyBorder="1" applyAlignment="1" applyProtection="1">
      <alignment horizontal="center"/>
      <protection hidden="1"/>
    </xf>
    <xf numFmtId="167" fontId="77" fillId="0" borderId="0" xfId="0" applyNumberFormat="1" applyFont="1" applyBorder="1" applyAlignment="1" applyProtection="1">
      <alignment horizontal="center"/>
      <protection hidden="1"/>
    </xf>
    <xf numFmtId="167" fontId="57" fillId="0" borderId="0" xfId="0" applyNumberFormat="1" applyFont="1" applyBorder="1" applyAlignment="1" applyProtection="1">
      <alignment horizontal="center"/>
      <protection hidden="1"/>
    </xf>
    <xf numFmtId="167" fontId="83" fillId="0" borderId="0" xfId="0" applyNumberFormat="1" applyFont="1" applyBorder="1" applyAlignment="1" applyProtection="1">
      <alignment horizontal="center"/>
      <protection hidden="1"/>
    </xf>
    <xf numFmtId="166" fontId="57" fillId="0" borderId="0" xfId="0" applyNumberFormat="1" applyFont="1" applyBorder="1" applyAlignment="1" applyProtection="1">
      <alignment horizontal="center"/>
      <protection hidden="1"/>
    </xf>
    <xf numFmtId="167" fontId="83" fillId="0" borderId="30" xfId="0" applyNumberFormat="1" applyFont="1" applyBorder="1" applyAlignment="1" applyProtection="1">
      <alignment horizontal="center"/>
      <protection hidden="1"/>
    </xf>
    <xf numFmtId="0" fontId="2" fillId="0" borderId="35" xfId="0" applyFont="1" applyBorder="1" applyAlignment="1" applyProtection="1">
      <alignment horizontal="center" shrinkToFit="1"/>
      <protection hidden="1"/>
    </xf>
    <xf numFmtId="0" fontId="2" fillId="0" borderId="0" xfId="0" quotePrefix="1" applyFont="1" applyBorder="1" applyAlignment="1" applyProtection="1">
      <alignment horizontal="left" shrinkToFit="1"/>
      <protection hidden="1"/>
    </xf>
    <xf numFmtId="0" fontId="7" fillId="0" borderId="0" xfId="0" applyFont="1" applyBorder="1" applyProtection="1">
      <protection hidden="1"/>
    </xf>
    <xf numFmtId="1" fontId="10" fillId="0" borderId="0" xfId="0" applyNumberFormat="1" applyFont="1" applyBorder="1" applyAlignment="1" applyProtection="1">
      <alignment horizontal="center"/>
      <protection hidden="1"/>
    </xf>
    <xf numFmtId="1" fontId="78" fillId="0" borderId="0" xfId="0" applyNumberFormat="1" applyFont="1" applyBorder="1" applyAlignment="1" applyProtection="1">
      <alignment horizontal="center"/>
      <protection hidden="1"/>
    </xf>
    <xf numFmtId="1" fontId="83" fillId="0" borderId="0" xfId="0" applyNumberFormat="1" applyFont="1" applyBorder="1" applyAlignment="1" applyProtection="1">
      <alignment horizontal="center"/>
      <protection hidden="1"/>
    </xf>
    <xf numFmtId="166" fontId="10" fillId="0" borderId="0" xfId="0" applyNumberFormat="1" applyFont="1" applyBorder="1" applyAlignment="1" applyProtection="1">
      <alignment horizontal="center"/>
      <protection hidden="1"/>
    </xf>
    <xf numFmtId="1" fontId="83" fillId="0" borderId="30" xfId="0" applyNumberFormat="1" applyFont="1" applyBorder="1" applyAlignment="1" applyProtection="1">
      <alignment horizontal="center"/>
      <protection hidden="1"/>
    </xf>
    <xf numFmtId="1" fontId="77" fillId="0" borderId="0" xfId="0" applyNumberFormat="1" applyFont="1" applyBorder="1" applyAlignment="1" applyProtection="1">
      <alignment horizontal="center"/>
      <protection hidden="1"/>
    </xf>
    <xf numFmtId="0" fontId="2" fillId="0" borderId="35" xfId="0" applyFont="1" applyBorder="1" applyAlignment="1" applyProtection="1">
      <alignment horizontal="center"/>
      <protection hidden="1"/>
    </xf>
    <xf numFmtId="0" fontId="10" fillId="2" borderId="0" xfId="0" quotePrefix="1" applyFont="1" applyFill="1" applyBorder="1" applyAlignment="1" applyProtection="1">
      <alignment horizontal="left" shrinkToFit="1"/>
      <protection hidden="1"/>
    </xf>
    <xf numFmtId="167" fontId="10" fillId="0" borderId="0" xfId="0" applyNumberFormat="1" applyFont="1" applyBorder="1" applyAlignment="1" applyProtection="1">
      <alignment horizontal="center"/>
      <protection hidden="1"/>
    </xf>
    <xf numFmtId="0" fontId="10" fillId="2" borderId="0" xfId="0" quotePrefix="1" applyFont="1" applyFill="1" applyBorder="1" applyAlignment="1" applyProtection="1">
      <alignment horizontal="left"/>
      <protection hidden="1"/>
    </xf>
    <xf numFmtId="0" fontId="7" fillId="0" borderId="0" xfId="0" applyFont="1" applyBorder="1" applyAlignment="1" applyProtection="1">
      <protection hidden="1"/>
    </xf>
    <xf numFmtId="2" fontId="77" fillId="0" borderId="0" xfId="0" applyNumberFormat="1" applyFont="1" applyBorder="1" applyAlignment="1" applyProtection="1">
      <alignment horizontal="center"/>
      <protection hidden="1"/>
    </xf>
    <xf numFmtId="2" fontId="83" fillId="0" borderId="0" xfId="0" applyNumberFormat="1" applyFont="1" applyBorder="1" applyAlignment="1" applyProtection="1">
      <alignment horizontal="center"/>
      <protection hidden="1"/>
    </xf>
    <xf numFmtId="0" fontId="2" fillId="0" borderId="0" xfId="0" quotePrefix="1" applyFont="1" applyBorder="1" applyAlignment="1" applyProtection="1">
      <alignment shrinkToFit="1"/>
      <protection hidden="1"/>
    </xf>
    <xf numFmtId="0" fontId="48" fillId="0" borderId="0" xfId="0" applyFont="1" applyBorder="1" applyAlignment="1" applyProtection="1">
      <alignment shrinkToFit="1"/>
      <protection hidden="1"/>
    </xf>
    <xf numFmtId="0" fontId="10" fillId="2" borderId="0" xfId="0" applyFont="1" applyFill="1" applyBorder="1" applyAlignment="1" applyProtection="1">
      <alignment horizontal="center" shrinkToFit="1"/>
      <protection hidden="1"/>
    </xf>
    <xf numFmtId="166" fontId="83" fillId="0" borderId="0" xfId="0" applyNumberFormat="1" applyFont="1" applyBorder="1" applyAlignment="1" applyProtection="1">
      <alignment horizontal="center"/>
      <protection hidden="1"/>
    </xf>
    <xf numFmtId="1" fontId="82" fillId="0" borderId="0" xfId="0" applyNumberFormat="1" applyFont="1" applyBorder="1" applyAlignment="1" applyProtection="1">
      <alignment horizontal="center"/>
      <protection hidden="1"/>
    </xf>
    <xf numFmtId="0" fontId="66" fillId="0" borderId="0" xfId="0" applyFont="1" applyBorder="1" applyProtection="1">
      <protection hidden="1"/>
    </xf>
    <xf numFmtId="0" fontId="42" fillId="2" borderId="0" xfId="0" applyFont="1" applyFill="1" applyBorder="1" applyAlignment="1" applyProtection="1">
      <alignment horizontal="center" shrinkToFit="1"/>
      <protection hidden="1"/>
    </xf>
    <xf numFmtId="2" fontId="44" fillId="0" borderId="0" xfId="0" applyNumberFormat="1" applyFont="1" applyBorder="1" applyAlignment="1" applyProtection="1">
      <alignment horizontal="center"/>
      <protection hidden="1"/>
    </xf>
    <xf numFmtId="0" fontId="2" fillId="0" borderId="36" xfId="0" applyFont="1" applyBorder="1" applyAlignment="1" applyProtection="1">
      <alignment horizontal="center"/>
      <protection hidden="1"/>
    </xf>
    <xf numFmtId="0" fontId="66" fillId="0" borderId="20" xfId="0" applyFont="1" applyBorder="1" applyProtection="1">
      <protection hidden="1"/>
    </xf>
    <xf numFmtId="2" fontId="83" fillId="0" borderId="31" xfId="0" applyNumberFormat="1" applyFont="1" applyBorder="1" applyAlignment="1" applyProtection="1">
      <alignment horizontal="center"/>
      <protection hidden="1"/>
    </xf>
    <xf numFmtId="0" fontId="10" fillId="2" borderId="20" xfId="0" applyFont="1" applyFill="1" applyBorder="1" applyAlignment="1" applyProtection="1">
      <alignment horizontal="center"/>
      <protection hidden="1"/>
    </xf>
    <xf numFmtId="0" fontId="66" fillId="0" borderId="21" xfId="0" applyFont="1" applyBorder="1" applyProtection="1">
      <protection hidden="1"/>
    </xf>
    <xf numFmtId="2" fontId="10" fillId="0" borderId="23" xfId="0" applyNumberFormat="1" applyFont="1" applyBorder="1" applyAlignment="1" applyProtection="1">
      <alignment horizontal="center"/>
      <protection hidden="1"/>
    </xf>
    <xf numFmtId="2" fontId="83" fillId="0" borderId="23" xfId="0" applyNumberFormat="1" applyFont="1" applyBorder="1" applyAlignment="1" applyProtection="1">
      <alignment horizontal="center"/>
      <protection hidden="1"/>
    </xf>
    <xf numFmtId="166" fontId="10" fillId="0" borderId="23" xfId="0" applyNumberFormat="1" applyFont="1" applyBorder="1" applyAlignment="1" applyProtection="1">
      <alignment horizontal="center"/>
      <protection hidden="1"/>
    </xf>
    <xf numFmtId="2" fontId="83" fillId="0" borderId="32" xfId="0" applyNumberFormat="1" applyFont="1" applyBorder="1" applyAlignment="1" applyProtection="1">
      <alignment horizontal="center"/>
      <protection hidden="1"/>
    </xf>
    <xf numFmtId="0" fontId="10" fillId="2" borderId="21" xfId="0" applyFont="1" applyFill="1" applyBorder="1" applyAlignment="1" applyProtection="1">
      <alignment horizontal="center"/>
      <protection hidden="1"/>
    </xf>
    <xf numFmtId="0" fontId="10" fillId="2" borderId="0" xfId="0" applyFont="1" applyFill="1" applyAlignment="1" applyProtection="1">
      <alignment horizontal="center"/>
      <protection hidden="1"/>
    </xf>
    <xf numFmtId="0" fontId="15" fillId="2" borderId="0" xfId="0" applyFont="1" applyFill="1" applyAlignment="1" applyProtection="1">
      <alignment horizontal="center"/>
      <protection hidden="1"/>
    </xf>
    <xf numFmtId="2" fontId="10" fillId="0" borderId="8" xfId="0" applyNumberFormat="1" applyFont="1" applyBorder="1" applyAlignment="1" applyProtection="1">
      <alignment horizontal="center"/>
      <protection hidden="1"/>
    </xf>
    <xf numFmtId="2" fontId="10" fillId="0" borderId="15" xfId="0" applyNumberFormat="1" applyFont="1" applyBorder="1" applyAlignment="1" applyProtection="1">
      <alignment horizontal="center"/>
      <protection hidden="1"/>
    </xf>
    <xf numFmtId="2" fontId="45" fillId="0" borderId="8" xfId="0" applyNumberFormat="1" applyFont="1" applyBorder="1" applyAlignment="1" applyProtection="1">
      <alignment horizontal="center"/>
      <protection hidden="1"/>
    </xf>
    <xf numFmtId="2" fontId="45" fillId="0" borderId="15" xfId="0" applyNumberFormat="1" applyFont="1" applyBorder="1" applyAlignment="1" applyProtection="1">
      <alignment horizontal="center"/>
      <protection hidden="1"/>
    </xf>
    <xf numFmtId="2" fontId="33" fillId="0" borderId="8" xfId="0" applyNumberFormat="1" applyFont="1" applyBorder="1" applyAlignment="1" applyProtection="1">
      <alignment horizontal="center"/>
      <protection hidden="1"/>
    </xf>
    <xf numFmtId="2" fontId="33" fillId="0" borderId="18" xfId="0" applyNumberFormat="1" applyFont="1" applyBorder="1" applyAlignment="1" applyProtection="1">
      <alignment horizontal="center"/>
      <protection hidden="1"/>
    </xf>
    <xf numFmtId="2" fontId="33" fillId="0" borderId="15" xfId="0" applyNumberFormat="1" applyFont="1" applyBorder="1" applyAlignment="1" applyProtection="1">
      <alignment horizontal="center"/>
      <protection hidden="1"/>
    </xf>
    <xf numFmtId="2" fontId="34" fillId="0" borderId="8" xfId="0" applyNumberFormat="1" applyFont="1" applyBorder="1" applyAlignment="1" applyProtection="1">
      <alignment horizontal="center"/>
      <protection hidden="1"/>
    </xf>
    <xf numFmtId="2" fontId="34" fillId="0" borderId="18" xfId="0" applyNumberFormat="1" applyFont="1" applyBorder="1" applyAlignment="1" applyProtection="1">
      <alignment horizontal="center"/>
      <protection hidden="1"/>
    </xf>
    <xf numFmtId="2" fontId="34" fillId="0" borderId="15" xfId="0" applyNumberFormat="1" applyFont="1" applyBorder="1" applyAlignment="1" applyProtection="1">
      <alignment horizontal="center"/>
      <protection hidden="1"/>
    </xf>
    <xf numFmtId="0" fontId="70" fillId="0" borderId="0" xfId="0" applyFont="1" applyAlignment="1" applyProtection="1">
      <protection hidden="1"/>
    </xf>
    <xf numFmtId="2" fontId="10" fillId="0" borderId="16" xfId="0" applyNumberFormat="1" applyFont="1" applyBorder="1" applyAlignment="1" applyProtection="1">
      <alignment horizontal="center"/>
      <protection hidden="1"/>
    </xf>
    <xf numFmtId="2" fontId="10" fillId="0" borderId="17" xfId="0" applyNumberFormat="1" applyFont="1" applyBorder="1" applyAlignment="1" applyProtection="1">
      <alignment horizontal="center"/>
      <protection hidden="1"/>
    </xf>
    <xf numFmtId="2" fontId="45" fillId="0" borderId="16" xfId="0" applyNumberFormat="1" applyFont="1" applyBorder="1" applyAlignment="1" applyProtection="1">
      <alignment horizontal="center"/>
      <protection hidden="1"/>
    </xf>
    <xf numFmtId="2" fontId="45" fillId="0" borderId="17" xfId="0" applyNumberFormat="1" applyFont="1" applyBorder="1" applyAlignment="1" applyProtection="1">
      <alignment horizontal="center"/>
      <protection hidden="1"/>
    </xf>
    <xf numFmtId="2" fontId="33" fillId="0" borderId="16" xfId="0" applyNumberFormat="1" applyFont="1" applyBorder="1" applyAlignment="1" applyProtection="1">
      <alignment horizontal="center"/>
      <protection hidden="1"/>
    </xf>
    <xf numFmtId="2" fontId="33" fillId="0" borderId="19" xfId="0" applyNumberFormat="1" applyFont="1" applyBorder="1" applyAlignment="1" applyProtection="1">
      <alignment horizontal="center"/>
      <protection hidden="1"/>
    </xf>
    <xf numFmtId="2" fontId="33" fillId="0" borderId="17" xfId="0" applyNumberFormat="1" applyFont="1" applyBorder="1" applyAlignment="1" applyProtection="1">
      <alignment horizontal="center"/>
      <protection hidden="1"/>
    </xf>
    <xf numFmtId="2" fontId="34" fillId="0" borderId="16" xfId="0" applyNumberFormat="1" applyFont="1" applyBorder="1" applyAlignment="1" applyProtection="1">
      <alignment horizontal="center"/>
      <protection hidden="1"/>
    </xf>
    <xf numFmtId="2" fontId="34" fillId="0" borderId="19" xfId="0" applyNumberFormat="1" applyFont="1" applyBorder="1" applyAlignment="1" applyProtection="1">
      <alignment horizontal="center"/>
      <protection hidden="1"/>
    </xf>
    <xf numFmtId="2" fontId="34" fillId="0" borderId="17" xfId="0" applyNumberFormat="1" applyFont="1" applyBorder="1" applyAlignment="1" applyProtection="1">
      <alignment horizontal="center"/>
      <protection hidden="1"/>
    </xf>
    <xf numFmtId="1" fontId="16" fillId="0" borderId="0" xfId="0" applyNumberFormat="1" applyFont="1" applyAlignment="1" applyProtection="1">
      <alignment horizontal="center"/>
      <protection hidden="1"/>
    </xf>
    <xf numFmtId="0" fontId="16" fillId="0" borderId="0" xfId="0" applyFont="1" applyAlignment="1" applyProtection="1">
      <alignment horizontal="center"/>
      <protection hidden="1"/>
    </xf>
    <xf numFmtId="0" fontId="69" fillId="0" borderId="0" xfId="0" applyFont="1" applyAlignment="1" applyProtection="1">
      <alignment horizontal="center"/>
      <protection hidden="1"/>
    </xf>
    <xf numFmtId="2" fontId="44" fillId="0" borderId="0" xfId="0" applyNumberFormat="1" applyFont="1" applyAlignment="1" applyProtection="1">
      <alignment horizontal="center"/>
      <protection hidden="1"/>
    </xf>
    <xf numFmtId="2" fontId="79" fillId="0" borderId="0" xfId="0" applyNumberFormat="1" applyFont="1" applyAlignment="1" applyProtection="1">
      <alignment horizontal="center"/>
      <protection hidden="1"/>
    </xf>
    <xf numFmtId="2" fontId="19" fillId="0" borderId="0" xfId="0" applyNumberFormat="1" applyFont="1" applyAlignment="1" applyProtection="1">
      <alignment horizontal="center"/>
      <protection hidden="1"/>
    </xf>
    <xf numFmtId="0" fontId="0" fillId="0" borderId="28" xfId="0" applyBorder="1" applyAlignment="1" applyProtection="1">
      <alignment horizontal="center"/>
      <protection hidden="1"/>
    </xf>
    <xf numFmtId="0" fontId="48" fillId="0" borderId="28" xfId="0" applyFont="1" applyBorder="1" applyProtection="1">
      <protection hidden="1"/>
    </xf>
    <xf numFmtId="0" fontId="42" fillId="0" borderId="0" xfId="0" applyFont="1" applyProtection="1">
      <protection hidden="1"/>
    </xf>
    <xf numFmtId="2" fontId="42" fillId="0" borderId="0" xfId="0" applyNumberFormat="1" applyFont="1" applyAlignment="1" applyProtection="1">
      <alignment horizontal="center"/>
      <protection hidden="1"/>
    </xf>
    <xf numFmtId="0" fontId="47" fillId="0" borderId="0" xfId="0" applyFont="1" applyFill="1" applyBorder="1" applyAlignment="1" applyProtection="1">
      <alignment horizontal="center"/>
    </xf>
    <xf numFmtId="0" fontId="2" fillId="0" borderId="0" xfId="0" applyFont="1" applyFill="1" applyBorder="1" applyAlignment="1">
      <alignment horizontal="center"/>
    </xf>
    <xf numFmtId="0" fontId="27" fillId="0" borderId="11" xfId="0" applyFont="1" applyBorder="1" applyAlignment="1" applyProtection="1">
      <alignment horizontal="left" shrinkToFit="1"/>
      <protection hidden="1"/>
    </xf>
    <xf numFmtId="0" fontId="0" fillId="0" borderId="11" xfId="0" applyBorder="1" applyAlignment="1" applyProtection="1">
      <alignment horizontal="left" shrinkToFit="1"/>
      <protection hidden="1"/>
    </xf>
    <xf numFmtId="0" fontId="50" fillId="2" borderId="45" xfId="0" applyFont="1" applyFill="1" applyBorder="1" applyAlignment="1" applyProtection="1">
      <alignment horizontal="center"/>
      <protection hidden="1"/>
    </xf>
    <xf numFmtId="0" fontId="50" fillId="2" borderId="22" xfId="0" applyFont="1" applyFill="1" applyBorder="1" applyAlignment="1" applyProtection="1">
      <alignment horizontal="center"/>
      <protection hidden="1"/>
    </xf>
    <xf numFmtId="0" fontId="2" fillId="0" borderId="0" xfId="0" quotePrefix="1" applyFont="1" applyBorder="1" applyAlignment="1" applyProtection="1">
      <alignment shrinkToFit="1"/>
      <protection hidden="1"/>
    </xf>
    <xf numFmtId="0" fontId="48" fillId="0" borderId="0" xfId="0" applyFont="1" applyBorder="1" applyAlignment="1" applyProtection="1">
      <alignment shrinkToFit="1"/>
      <protection hidden="1"/>
    </xf>
    <xf numFmtId="0" fontId="48" fillId="0" borderId="0" xfId="0" applyFont="1" applyAlignment="1" applyProtection="1">
      <alignment shrinkToFit="1"/>
      <protection hidden="1"/>
    </xf>
    <xf numFmtId="0" fontId="0" fillId="0" borderId="0" xfId="0" applyAlignment="1" applyProtection="1">
      <protection hidden="1"/>
    </xf>
    <xf numFmtId="0" fontId="100" fillId="0" borderId="28" xfId="1" applyBorder="1" applyAlignment="1" applyProtection="1">
      <alignment horizontal="right" vertical="center" shrinkToFit="1"/>
      <protection hidden="1"/>
    </xf>
    <xf numFmtId="0" fontId="0" fillId="0" borderId="28" xfId="0" applyBorder="1" applyAlignment="1" applyProtection="1">
      <alignment horizontal="right" vertical="center" shrinkToFit="1"/>
      <protection hidden="1"/>
    </xf>
    <xf numFmtId="0" fontId="48" fillId="0" borderId="0" xfId="0" applyFont="1" applyAlignment="1" applyProtection="1">
      <alignment horizontal="left" shrinkToFit="1"/>
      <protection hidden="1"/>
    </xf>
    <xf numFmtId="0" fontId="50" fillId="2" borderId="44" xfId="0" applyFont="1" applyFill="1" applyBorder="1" applyAlignment="1" applyProtection="1">
      <alignment horizontal="center"/>
      <protection hidden="1"/>
    </xf>
    <xf numFmtId="0" fontId="50" fillId="2" borderId="23" xfId="0" applyFont="1" applyFill="1" applyBorder="1" applyAlignment="1" applyProtection="1">
      <alignment horizontal="center"/>
      <protection hidden="1"/>
    </xf>
    <xf numFmtId="0" fontId="100" fillId="0" borderId="0" xfId="1" applyBorder="1" applyAlignment="1" applyProtection="1">
      <alignment horizontal="right" vertical="center" shrinkToFit="1"/>
      <protection hidden="1"/>
    </xf>
    <xf numFmtId="0" fontId="0" fillId="0" borderId="0" xfId="0" applyBorder="1" applyAlignment="1" applyProtection="1">
      <alignment horizontal="right" vertical="center" shrinkToFit="1"/>
      <protection hidden="1"/>
    </xf>
    <xf numFmtId="0" fontId="74" fillId="2" borderId="0" xfId="0" applyFont="1" applyFill="1" applyBorder="1" applyAlignment="1" applyProtection="1">
      <alignment horizontal="left" vertical="center"/>
      <protection hidden="1"/>
    </xf>
    <xf numFmtId="0" fontId="0" fillId="0" borderId="0" xfId="0" applyBorder="1" applyAlignment="1" applyProtection="1">
      <alignment horizontal="left"/>
      <protection hidden="1"/>
    </xf>
    <xf numFmtId="0" fontId="48" fillId="0" borderId="0" xfId="0" applyFont="1" applyAlignment="1" applyProtection="1">
      <alignment horizontal="center" shrinkToFit="1"/>
      <protection hidden="1"/>
    </xf>
    <xf numFmtId="0" fontId="38" fillId="0" borderId="0" xfId="0" applyFont="1" applyAlignment="1">
      <alignment horizontal="justify" vertical="top" wrapText="1"/>
    </xf>
  </cellXfs>
  <cellStyles count="2">
    <cellStyle name="Hiperłącze" xfId="1" builtinId="8"/>
    <cellStyle name="Normalny" xfId="0" builtinId="0"/>
  </cellStyles>
  <dxfs count="24">
    <dxf>
      <font>
        <condense val="0"/>
        <extend val="0"/>
        <color indexed="9"/>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17"/>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38037730922388E-2"/>
          <c:y val="2.9239933067965719E-2"/>
          <c:w val="0.95187414322083685"/>
          <c:h val="0.94737383140208919"/>
        </c:manualLayout>
      </c:layout>
      <c:scatterChart>
        <c:scatterStyle val="lineMarker"/>
        <c:varyColors val="0"/>
        <c:ser>
          <c:idx val="0"/>
          <c:order val="0"/>
          <c:spPr>
            <a:ln w="12700">
              <a:solidFill>
                <a:srgbClr val="008000"/>
              </a:solidFill>
              <a:prstDash val="solid"/>
            </a:ln>
          </c:spPr>
          <c:marker>
            <c:symbol val="none"/>
          </c:marker>
          <c:xVal>
            <c:numRef>
              <c:f>Robol!$B$10:$F$10</c:f>
              <c:numCache>
                <c:formatCode>General</c:formatCode>
                <c:ptCount val="5"/>
                <c:pt idx="0">
                  <c:v>30</c:v>
                </c:pt>
                <c:pt idx="1">
                  <c:v>30</c:v>
                </c:pt>
                <c:pt idx="2">
                  <c:v>470</c:v>
                </c:pt>
                <c:pt idx="3">
                  <c:v>470</c:v>
                </c:pt>
                <c:pt idx="4">
                  <c:v>30</c:v>
                </c:pt>
              </c:numCache>
            </c:numRef>
          </c:xVal>
          <c:yVal>
            <c:numRef>
              <c:f>Robol!$B$11:$F$11</c:f>
              <c:numCache>
                <c:formatCode>General</c:formatCode>
                <c:ptCount val="5"/>
                <c:pt idx="0">
                  <c:v>30</c:v>
                </c:pt>
                <c:pt idx="1">
                  <c:v>420</c:v>
                </c:pt>
                <c:pt idx="2">
                  <c:v>420</c:v>
                </c:pt>
                <c:pt idx="3">
                  <c:v>30</c:v>
                </c:pt>
                <c:pt idx="4">
                  <c:v>30</c:v>
                </c:pt>
              </c:numCache>
            </c:numRef>
          </c:yVal>
          <c:smooth val="0"/>
        </c:ser>
        <c:ser>
          <c:idx val="1"/>
          <c:order val="1"/>
          <c:spPr>
            <a:ln w="28575">
              <a:noFill/>
            </a:ln>
          </c:spPr>
          <c:marker>
            <c:symbol val="circle"/>
            <c:size val="8"/>
            <c:spPr>
              <a:solidFill>
                <a:srgbClr val="993300"/>
              </a:solidFill>
              <a:ln w="9525">
                <a:noFill/>
              </a:ln>
            </c:spPr>
          </c:marker>
          <c:xVal>
            <c:numRef>
              <c:f>Robol!$B$7:$V$7</c:f>
              <c:numCache>
                <c:formatCode>General</c:formatCode>
                <c:ptCount val="21"/>
                <c:pt idx="0">
                  <c:v>45</c:v>
                </c:pt>
                <c:pt idx="1">
                  <c:v>45</c:v>
                </c:pt>
                <c:pt idx="2">
                  <c:v>127</c:v>
                </c:pt>
                <c:pt idx="3">
                  <c:v>209</c:v>
                </c:pt>
                <c:pt idx="4">
                  <c:v>291</c:v>
                </c:pt>
                <c:pt idx="5">
                  <c:v>373</c:v>
                </c:pt>
                <c:pt idx="6">
                  <c:v>455</c:v>
                </c:pt>
                <c:pt idx="7">
                  <c:v>455</c:v>
                </c:pt>
                <c:pt idx="8">
                  <c:v>455</c:v>
                </c:pt>
                <c:pt idx="9">
                  <c:v>455</c:v>
                </c:pt>
                <c:pt idx="10">
                  <c:v>455</c:v>
                </c:pt>
                <c:pt idx="11">
                  <c:v>455</c:v>
                </c:pt>
                <c:pt idx="12">
                  <c:v>45</c:v>
                </c:pt>
                <c:pt idx="13">
                  <c:v>45</c:v>
                </c:pt>
                <c:pt idx="14">
                  <c:v>45</c:v>
                </c:pt>
                <c:pt idx="15">
                  <c:v>45</c:v>
                </c:pt>
                <c:pt idx="16">
                  <c:v>45</c:v>
                </c:pt>
                <c:pt idx="17">
                  <c:v>45</c:v>
                </c:pt>
                <c:pt idx="18">
                  <c:v>45</c:v>
                </c:pt>
                <c:pt idx="19">
                  <c:v>45</c:v>
                </c:pt>
                <c:pt idx="20">
                  <c:v>45</c:v>
                </c:pt>
              </c:numCache>
            </c:numRef>
          </c:xVal>
          <c:yVal>
            <c:numRef>
              <c:f>Robol!$B$8:$V$8</c:f>
              <c:numCache>
                <c:formatCode>General</c:formatCode>
                <c:ptCount val="21"/>
                <c:pt idx="0">
                  <c:v>45</c:v>
                </c:pt>
                <c:pt idx="1">
                  <c:v>405</c:v>
                </c:pt>
                <c:pt idx="2">
                  <c:v>405</c:v>
                </c:pt>
                <c:pt idx="3">
                  <c:v>405</c:v>
                </c:pt>
                <c:pt idx="4">
                  <c:v>405</c:v>
                </c:pt>
                <c:pt idx="5">
                  <c:v>405</c:v>
                </c:pt>
                <c:pt idx="6">
                  <c:v>405</c:v>
                </c:pt>
                <c:pt idx="7">
                  <c:v>405</c:v>
                </c:pt>
                <c:pt idx="8">
                  <c:v>405</c:v>
                </c:pt>
                <c:pt idx="9">
                  <c:v>405</c:v>
                </c:pt>
                <c:pt idx="10">
                  <c:v>405</c:v>
                </c:pt>
                <c:pt idx="11">
                  <c:v>45</c:v>
                </c:pt>
                <c:pt idx="12">
                  <c:v>45</c:v>
                </c:pt>
                <c:pt idx="13">
                  <c:v>45</c:v>
                </c:pt>
                <c:pt idx="14">
                  <c:v>45</c:v>
                </c:pt>
                <c:pt idx="15">
                  <c:v>45</c:v>
                </c:pt>
                <c:pt idx="16">
                  <c:v>45</c:v>
                </c:pt>
                <c:pt idx="17">
                  <c:v>45</c:v>
                </c:pt>
                <c:pt idx="18">
                  <c:v>45</c:v>
                </c:pt>
                <c:pt idx="19">
                  <c:v>45</c:v>
                </c:pt>
                <c:pt idx="20">
                  <c:v>45</c:v>
                </c:pt>
              </c:numCache>
            </c:numRef>
          </c:yVal>
          <c:smooth val="0"/>
        </c:ser>
        <c:ser>
          <c:idx val="2"/>
          <c:order val="2"/>
          <c:spPr>
            <a:ln w="38100">
              <a:solidFill>
                <a:srgbClr val="000000"/>
              </a:solidFill>
              <a:prstDash val="solid"/>
            </a:ln>
          </c:spPr>
          <c:marker>
            <c:symbol val="none"/>
          </c:marker>
          <c:xVal>
            <c:numRef>
              <c:f>Robol!$B$12:$F$12</c:f>
              <c:numCache>
                <c:formatCode>General</c:formatCode>
                <c:ptCount val="5"/>
                <c:pt idx="0">
                  <c:v>0</c:v>
                </c:pt>
                <c:pt idx="1">
                  <c:v>0</c:v>
                </c:pt>
                <c:pt idx="2">
                  <c:v>500</c:v>
                </c:pt>
                <c:pt idx="3">
                  <c:v>500</c:v>
                </c:pt>
                <c:pt idx="4">
                  <c:v>0</c:v>
                </c:pt>
              </c:numCache>
            </c:numRef>
          </c:xVal>
          <c:yVal>
            <c:numRef>
              <c:f>Robol!$B$13:$F$13</c:f>
              <c:numCache>
                <c:formatCode>General</c:formatCode>
                <c:ptCount val="5"/>
                <c:pt idx="0">
                  <c:v>0</c:v>
                </c:pt>
                <c:pt idx="1">
                  <c:v>450</c:v>
                </c:pt>
                <c:pt idx="2">
                  <c:v>450</c:v>
                </c:pt>
                <c:pt idx="3">
                  <c:v>0</c:v>
                </c:pt>
                <c:pt idx="4">
                  <c:v>0</c:v>
                </c:pt>
              </c:numCache>
            </c:numRef>
          </c:yVal>
          <c:smooth val="0"/>
        </c:ser>
        <c:ser>
          <c:idx val="3"/>
          <c:order val="3"/>
          <c:spPr>
            <a:ln w="12700">
              <a:solidFill>
                <a:srgbClr val="00FFFF"/>
              </a:solidFill>
              <a:prstDash val="solid"/>
            </a:ln>
          </c:spPr>
          <c:marker>
            <c:symbol val="none"/>
          </c:marker>
          <c:xVal>
            <c:numRef>
              <c:f>Robol!$C$13</c:f>
              <c:numCache>
                <c:formatCode>General</c:formatCode>
                <c:ptCount val="1"/>
                <c:pt idx="0">
                  <c:v>450</c:v>
                </c:pt>
              </c:numCache>
            </c:numRef>
          </c:xVal>
          <c:yVal>
            <c:numRef>
              <c:f>Robol!$D$12</c:f>
              <c:numCache>
                <c:formatCode>General</c:formatCode>
                <c:ptCount val="1"/>
                <c:pt idx="0">
                  <c:v>500</c:v>
                </c:pt>
              </c:numCache>
            </c:numRef>
          </c:yVal>
          <c:smooth val="0"/>
        </c:ser>
        <c:dLbls>
          <c:showLegendKey val="0"/>
          <c:showVal val="0"/>
          <c:showCatName val="0"/>
          <c:showSerName val="0"/>
          <c:showPercent val="0"/>
          <c:showBubbleSize val="0"/>
        </c:dLbls>
        <c:axId val="82001280"/>
        <c:axId val="82196352"/>
      </c:scatterChart>
      <c:valAx>
        <c:axId val="82001280"/>
        <c:scaling>
          <c:orientation val="minMax"/>
          <c:min val="-40"/>
        </c:scaling>
        <c:delete val="1"/>
        <c:axPos val="b"/>
        <c:numFmt formatCode="General" sourceLinked="1"/>
        <c:majorTickMark val="out"/>
        <c:minorTickMark val="none"/>
        <c:tickLblPos val="nextTo"/>
        <c:crossAx val="82196352"/>
        <c:crosses val="autoZero"/>
        <c:crossBetween val="midCat"/>
      </c:valAx>
      <c:valAx>
        <c:axId val="82196352"/>
        <c:scaling>
          <c:orientation val="minMax"/>
          <c:min val="-40"/>
        </c:scaling>
        <c:delete val="1"/>
        <c:axPos val="l"/>
        <c:numFmt formatCode="General" sourceLinked="1"/>
        <c:majorTickMark val="out"/>
        <c:minorTickMark val="none"/>
        <c:tickLblPos val="nextTo"/>
        <c:crossAx val="82001280"/>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000000"/>
          </a:solidFill>
          <a:latin typeface="Arial"/>
          <a:ea typeface="Arial"/>
          <a:cs typeface="Arial"/>
        </a:defRPr>
      </a:pPr>
      <a:endParaRPr lang="pl-PL"/>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20765509166871"/>
          <c:y val="1.6788495587960108E-2"/>
          <c:w val="0.81927817948640869"/>
          <c:h val="0.83595255909235755"/>
        </c:manualLayout>
      </c:layout>
      <c:scatterChart>
        <c:scatterStyle val="smoothMarker"/>
        <c:varyColors val="0"/>
        <c:ser>
          <c:idx val="0"/>
          <c:order val="0"/>
          <c:spPr>
            <a:ln w="25400">
              <a:solidFill>
                <a:srgbClr val="FF0000"/>
              </a:solidFill>
              <a:prstDash val="solid"/>
            </a:ln>
          </c:spPr>
          <c:marker>
            <c:symbol val="none"/>
          </c:marker>
          <c:xVal>
            <c:numRef>
              <c:f>Oblicz!$G$36:$BH$36</c:f>
              <c:numCache>
                <c:formatCode>0.00</c:formatCode>
                <c:ptCount val="54"/>
                <c:pt idx="0">
                  <c:v>0</c:v>
                </c:pt>
                <c:pt idx="1">
                  <c:v>-101.96807582016119</c:v>
                </c:pt>
                <c:pt idx="2">
                  <c:v>-56.691266476106556</c:v>
                </c:pt>
                <c:pt idx="3">
                  <c:v>111.96359937721482</c:v>
                </c:pt>
                <c:pt idx="4">
                  <c:v>117.81275018661945</c:v>
                </c:pt>
                <c:pt idx="5">
                  <c:v>126.52812658032357</c:v>
                </c:pt>
                <c:pt idx="6">
                  <c:v>108.60173036717148</c:v>
                </c:pt>
                <c:pt idx="7">
                  <c:v>112.41749608796542</c:v>
                </c:pt>
                <c:pt idx="8">
                  <c:v>139.85165687107028</c:v>
                </c:pt>
                <c:pt idx="9">
                  <c:v>162.93550365956744</c:v>
                </c:pt>
                <c:pt idx="10">
                  <c:v>182.36978221315474</c:v>
                </c:pt>
                <c:pt idx="11">
                  <c:v>200.11971325966888</c:v>
                </c:pt>
                <c:pt idx="12">
                  <c:v>216.46557830419181</c:v>
                </c:pt>
                <c:pt idx="13">
                  <c:v>231.45693671425974</c:v>
                </c:pt>
                <c:pt idx="14">
                  <c:v>244.98425807396794</c:v>
                </c:pt>
                <c:pt idx="15">
                  <c:v>257.10311138490363</c:v>
                </c:pt>
                <c:pt idx="16">
                  <c:v>268.13918573061318</c:v>
                </c:pt>
                <c:pt idx="17">
                  <c:v>278.40166472281703</c:v>
                </c:pt>
                <c:pt idx="18">
                  <c:v>288.06188977561635</c:v>
                </c:pt>
                <c:pt idx="19">
                  <c:v>297.19645832521405</c:v>
                </c:pt>
                <c:pt idx="20">
                  <c:v>305.83745925172946</c:v>
                </c:pt>
                <c:pt idx="21">
                  <c:v>313.99805464495563</c:v>
                </c:pt>
                <c:pt idx="22">
                  <c:v>321.68341015314633</c:v>
                </c:pt>
                <c:pt idx="23">
                  <c:v>328.8952541200357</c:v>
                </c:pt>
                <c:pt idx="24">
                  <c:v>335.633822119336</c:v>
                </c:pt>
                <c:pt idx="25">
                  <c:v>341.89871354655889</c:v>
                </c:pt>
                <c:pt idx="26">
                  <c:v>347.68927931027514</c:v>
                </c:pt>
                <c:pt idx="27">
                  <c:v>353.00479926110279</c:v>
                </c:pt>
                <c:pt idx="28">
                  <c:v>357.84456063863001</c:v>
                </c:pt>
                <c:pt idx="29">
                  <c:v>362.20788232815158</c:v>
                </c:pt>
                <c:pt idx="30">
                  <c:v>366.09408173140753</c:v>
                </c:pt>
                <c:pt idx="31">
                  <c:v>369.50227689295178</c:v>
                </c:pt>
                <c:pt idx="32">
                  <c:v>372.43050324367402</c:v>
                </c:pt>
                <c:pt idx="33">
                  <c:v>374.87182270593871</c:v>
                </c:pt>
                <c:pt idx="34">
                  <c:v>376.79783965218166</c:v>
                </c:pt>
                <c:pt idx="35">
                  <c:v>378.10374095039322</c:v>
                </c:pt>
                <c:pt idx="36">
                  <c:v>378.56377805238952</c:v>
                </c:pt>
                <c:pt idx="37">
                  <c:v>378.11877059537221</c:v>
                </c:pt>
                <c:pt idx="38">
                  <c:v>377.02115843680679</c:v>
                </c:pt>
                <c:pt idx="39">
                  <c:v>375.44502087654462</c:v>
                </c:pt>
                <c:pt idx="40">
                  <c:v>373.43662718749169</c:v>
                </c:pt>
                <c:pt idx="41">
                  <c:v>371.00185232575899</c:v>
                </c:pt>
                <c:pt idx="42">
                  <c:v>368.13829095039847</c:v>
                </c:pt>
                <c:pt idx="43">
                  <c:v>364.84231147826569</c:v>
                </c:pt>
                <c:pt idx="44">
                  <c:v>304.79753481568491</c:v>
                </c:pt>
                <c:pt idx="45">
                  <c:v>198.93657591985058</c:v>
                </c:pt>
                <c:pt idx="46">
                  <c:v>121.08344414730784</c:v>
                </c:pt>
                <c:pt idx="47">
                  <c:v>79.930917278291602</c:v>
                </c:pt>
                <c:pt idx="48" formatCode="0.0">
                  <c:v>57.954919081112948</c:v>
                </c:pt>
                <c:pt idx="49">
                  <c:v>46.400133702947258</c:v>
                </c:pt>
                <c:pt idx="50">
                  <c:v>40.573074321895803</c:v>
                </c:pt>
                <c:pt idx="51">
                  <c:v>37.836549074236956</c:v>
                </c:pt>
                <c:pt idx="52">
                  <c:v>36.662992702838658</c:v>
                </c:pt>
                <c:pt idx="53">
                  <c:v>36.107232533963668</c:v>
                </c:pt>
              </c:numCache>
            </c:numRef>
          </c:xVal>
          <c:yVal>
            <c:numRef>
              <c:f>Oblicz!$G$35:$BH$35</c:f>
              <c:numCache>
                <c:formatCode>0.00</c:formatCode>
                <c:ptCount val="54"/>
                <c:pt idx="0">
                  <c:v>0</c:v>
                </c:pt>
                <c:pt idx="1">
                  <c:v>-239.55982575274564</c:v>
                </c:pt>
                <c:pt idx="2">
                  <c:v>-599.90759573166417</c:v>
                </c:pt>
                <c:pt idx="3">
                  <c:v>279.12667394110514</c:v>
                </c:pt>
                <c:pt idx="4">
                  <c:v>299.30963599104467</c:v>
                </c:pt>
                <c:pt idx="5">
                  <c:v>337.21240485316093</c:v>
                </c:pt>
                <c:pt idx="6">
                  <c:v>236.70800597107447</c:v>
                </c:pt>
                <c:pt idx="7">
                  <c:v>253.79609299982343</c:v>
                </c:pt>
                <c:pt idx="8">
                  <c:v>398.40382534874612</c:v>
                </c:pt>
                <c:pt idx="9">
                  <c:v>527.8264930074314</c:v>
                </c:pt>
                <c:pt idx="10">
                  <c:v>650.67262567217676</c:v>
                </c:pt>
                <c:pt idx="11">
                  <c:v>763.72665103843383</c:v>
                </c:pt>
                <c:pt idx="12">
                  <c:v>869.5019823610869</c:v>
                </c:pt>
                <c:pt idx="13">
                  <c:v>968.91657454773087</c:v>
                </c:pt>
                <c:pt idx="14">
                  <c:v>1061.8280589451874</c:v>
                </c:pt>
                <c:pt idx="15">
                  <c:v>1148.8330988371667</c:v>
                </c:pt>
                <c:pt idx="16">
                  <c:v>1231.8710936046773</c:v>
                </c:pt>
                <c:pt idx="17">
                  <c:v>1312.7364649660105</c:v>
                </c:pt>
                <c:pt idx="18">
                  <c:v>1392.4546784446686</c:v>
                </c:pt>
                <c:pt idx="19">
                  <c:v>1471.5219328654885</c:v>
                </c:pt>
                <c:pt idx="20">
                  <c:v>1550.1787272957936</c:v>
                </c:pt>
                <c:pt idx="21">
                  <c:v>1628.5505313440813</c:v>
                </c:pt>
                <c:pt idx="22">
                  <c:v>1706.7093396248422</c:v>
                </c:pt>
                <c:pt idx="23">
                  <c:v>1784.7004527129693</c:v>
                </c:pt>
                <c:pt idx="24">
                  <c:v>1862.5546992282309</c:v>
                </c:pt>
                <c:pt idx="25">
                  <c:v>1940.2943974746647</c:v>
                </c:pt>
                <c:pt idx="26">
                  <c:v>2017.9364799312852</c:v>
                </c:pt>
                <c:pt idx="27">
                  <c:v>2095.4942526552622</c:v>
                </c:pt>
                <c:pt idx="28">
                  <c:v>2172.9784629774103</c:v>
                </c:pt>
                <c:pt idx="29">
                  <c:v>2250.3980273615412</c:v>
                </c:pt>
                <c:pt idx="30">
                  <c:v>2327.7607244289829</c:v>
                </c:pt>
                <c:pt idx="31">
                  <c:v>2405.0745686124769</c:v>
                </c:pt>
                <c:pt idx="32">
                  <c:v>2482.3526978417017</c:v>
                </c:pt>
                <c:pt idx="33">
                  <c:v>2559.6341060323293</c:v>
                </c:pt>
                <c:pt idx="34">
                  <c:v>2637.0709625381555</c:v>
                </c:pt>
                <c:pt idx="35">
                  <c:v>2715.219479444856</c:v>
                </c:pt>
                <c:pt idx="36">
                  <c:v>2795.2755107986177</c:v>
                </c:pt>
                <c:pt idx="37">
                  <c:v>2877.5534109685796</c:v>
                </c:pt>
                <c:pt idx="38">
                  <c:v>2960.7185955598502</c:v>
                </c:pt>
                <c:pt idx="39">
                  <c:v>3043.8509569025728</c:v>
                </c:pt>
                <c:pt idx="40">
                  <c:v>3126.7065214880295</c:v>
                </c:pt>
                <c:pt idx="41">
                  <c:v>3209.2549491616574</c:v>
                </c:pt>
                <c:pt idx="42">
                  <c:v>3291.5096308900638</c:v>
                </c:pt>
                <c:pt idx="43">
                  <c:v>3373.4903766240827</c:v>
                </c:pt>
                <c:pt idx="44">
                  <c:v>4208.0306674806452</c:v>
                </c:pt>
                <c:pt idx="45">
                  <c:v>5016.883439576819</c:v>
                </c:pt>
                <c:pt idx="46">
                  <c:v>5557.4560982073008</c:v>
                </c:pt>
                <c:pt idx="47">
                  <c:v>5874.2082821424719</c:v>
                </c:pt>
                <c:pt idx="48" formatCode="0.0">
                  <c:v>6074.0575573354681</c:v>
                </c:pt>
                <c:pt idx="49">
                  <c:v>6209.4415809225238</c:v>
                </c:pt>
                <c:pt idx="50">
                  <c:v>6307.8966268809618</c:v>
                </c:pt>
                <c:pt idx="51">
                  <c:v>6384.5455569802862</c:v>
                </c:pt>
                <c:pt idx="52">
                  <c:v>6447.9220943017563</c:v>
                </c:pt>
                <c:pt idx="53">
                  <c:v>6503.1362129163072</c:v>
                </c:pt>
              </c:numCache>
            </c:numRef>
          </c:yVal>
          <c:smooth val="1"/>
        </c:ser>
        <c:ser>
          <c:idx val="1"/>
          <c:order val="1"/>
          <c:tx>
            <c:v>Markers</c:v>
          </c:tx>
          <c:spPr>
            <a:ln w="28575">
              <a:noFill/>
            </a:ln>
          </c:spPr>
          <c:marker>
            <c:symbol val="circle"/>
            <c:size val="8"/>
            <c:spPr>
              <a:solidFill>
                <a:srgbClr val="FFFFFF"/>
              </a:solidFill>
              <a:ln>
                <a:solidFill>
                  <a:srgbClr val="000000"/>
                </a:solidFill>
                <a:prstDash val="solid"/>
              </a:ln>
            </c:spPr>
          </c:marker>
          <c:dLbls>
            <c:numFmt formatCode="0" sourceLinked="0"/>
            <c:spPr>
              <a:noFill/>
              <a:ln w="25400">
                <a:noFill/>
              </a:ln>
            </c:spPr>
            <c:txPr>
              <a:bodyPr/>
              <a:lstStyle/>
              <a:p>
                <a:pPr algn="r">
                  <a:defRPr sz="1475" b="0" i="0" u="none" strike="noStrike" baseline="0">
                    <a:solidFill>
                      <a:srgbClr val="FF00FF"/>
                    </a:solidFill>
                    <a:latin typeface="Tekton"/>
                    <a:ea typeface="Tekton"/>
                    <a:cs typeface="Tekton"/>
                  </a:defRPr>
                </a:pPr>
                <a:endParaRPr lang="pl-PL"/>
              </a:p>
            </c:txPr>
            <c:dLblPos val="l"/>
            <c:showLegendKey val="0"/>
            <c:showVal val="1"/>
            <c:showCatName val="0"/>
            <c:showSerName val="0"/>
            <c:showPercent val="0"/>
            <c:showBubbleSize val="0"/>
            <c:showLeaderLines val="0"/>
          </c:dLbls>
          <c:xVal>
            <c:numRef>
              <c:f>Oblicz!$I$39:$J$39</c:f>
              <c:numCache>
                <c:formatCode>0.00</c:formatCode>
                <c:ptCount val="2"/>
                <c:pt idx="0">
                  <c:v>320</c:v>
                </c:pt>
                <c:pt idx="1">
                  <c:v>50</c:v>
                </c:pt>
              </c:numCache>
            </c:numRef>
          </c:xVal>
          <c:yVal>
            <c:numRef>
              <c:f>Oblicz!$I$38:$J$38</c:f>
              <c:numCache>
                <c:formatCode>0.00</c:formatCode>
                <c:ptCount val="2"/>
                <c:pt idx="0">
                  <c:v>1500</c:v>
                </c:pt>
                <c:pt idx="1">
                  <c:v>-500</c:v>
                </c:pt>
              </c:numCache>
            </c:numRef>
          </c:yVal>
          <c:smooth val="1"/>
        </c:ser>
        <c:ser>
          <c:idx val="2"/>
          <c:order val="2"/>
          <c:tx>
            <c:v>Closer</c:v>
          </c:tx>
          <c:spPr>
            <a:ln w="12700">
              <a:solidFill>
                <a:srgbClr val="FF0000"/>
              </a:solidFill>
              <a:prstDash val="lgDash"/>
            </a:ln>
          </c:spPr>
          <c:marker>
            <c:symbol val="none"/>
          </c:marker>
          <c:xVal>
            <c:numRef>
              <c:f>Oblicz!$L$39:$M$39</c:f>
              <c:numCache>
                <c:formatCode>0.00</c:formatCode>
                <c:ptCount val="2"/>
                <c:pt idx="0">
                  <c:v>0</c:v>
                </c:pt>
                <c:pt idx="1">
                  <c:v>36.107232533963668</c:v>
                </c:pt>
              </c:numCache>
            </c:numRef>
          </c:xVal>
          <c:yVal>
            <c:numRef>
              <c:f>Oblicz!$L$38:$M$38</c:f>
              <c:numCache>
                <c:formatCode>0.00</c:formatCode>
                <c:ptCount val="2"/>
                <c:pt idx="0">
                  <c:v>0</c:v>
                </c:pt>
                <c:pt idx="1">
                  <c:v>6503.1362129163072</c:v>
                </c:pt>
              </c:numCache>
            </c:numRef>
          </c:yVal>
          <c:smooth val="1"/>
        </c:ser>
        <c:ser>
          <c:idx val="3"/>
          <c:order val="3"/>
          <c:tx>
            <c:v>10%*Ac fcu</c:v>
          </c:tx>
          <c:spPr>
            <a:ln w="12700">
              <a:solidFill>
                <a:srgbClr val="008000"/>
              </a:solidFill>
              <a:prstDash val="sysDash"/>
            </a:ln>
          </c:spPr>
          <c:marker>
            <c:symbol val="none"/>
          </c:marker>
          <c:dLbls>
            <c:dLbl>
              <c:idx val="1"/>
              <c:layout>
                <c:manualLayout>
                  <c:x val="-3.6537514435696646E-2"/>
                  <c:y val="-1.8695557928075833E-2"/>
                </c:manualLayout>
              </c:layout>
              <c:tx>
                <c:rich>
                  <a:bodyPr/>
                  <a:lstStyle/>
                  <a:p>
                    <a:pPr>
                      <a:defRPr sz="1475" b="0" i="0" u="none" strike="noStrike" baseline="0">
                        <a:solidFill>
                          <a:srgbClr val="000000"/>
                        </a:solidFill>
                        <a:latin typeface="Arial"/>
                        <a:ea typeface="Arial"/>
                        <a:cs typeface="Arial"/>
                      </a:defRPr>
                    </a:pPr>
                    <a:r>
                      <a:rPr lang="pl-PL" sz="900" b="0" i="0" u="none" strike="noStrike" baseline="0">
                        <a:solidFill>
                          <a:srgbClr val="993300"/>
                        </a:solidFill>
                        <a:latin typeface="Tekton"/>
                      </a:rPr>
                      <a:t>10%F</a:t>
                    </a:r>
                    <a:r>
                      <a:rPr lang="pl-PL" sz="900" b="0" i="0" u="none" strike="noStrike" baseline="-25000">
                        <a:solidFill>
                          <a:srgbClr val="993300"/>
                        </a:solidFill>
                        <a:latin typeface="Tekton"/>
                      </a:rPr>
                      <a:t>cA</a:t>
                    </a:r>
                  </a:p>
                </c:rich>
              </c:tx>
              <c:spPr>
                <a:solidFill>
                  <a:srgbClr val="FFFFFF"/>
                </a:solidFill>
                <a:ln w="3175">
                  <a:solidFill>
                    <a:srgbClr val="008000"/>
                  </a:solidFill>
                  <a:prstDash val="solid"/>
                </a:ln>
              </c:spPr>
              <c:dLblPos val="r"/>
              <c:showLegendKey val="0"/>
              <c:showVal val="0"/>
              <c:showCatName val="0"/>
              <c:showSerName val="0"/>
              <c:showPercent val="0"/>
              <c:showBubbleSize val="0"/>
            </c:dLbl>
            <c:showLegendKey val="0"/>
            <c:showVal val="0"/>
            <c:showCatName val="0"/>
            <c:showSerName val="0"/>
            <c:showPercent val="0"/>
            <c:showBubbleSize val="0"/>
          </c:dLbls>
          <c:xVal>
            <c:numRef>
              <c:f>Oblicz!$O$38:$Q$38</c:f>
              <c:numCache>
                <c:formatCode>0.00</c:formatCode>
                <c:ptCount val="3"/>
                <c:pt idx="0">
                  <c:v>36.107232533963668</c:v>
                </c:pt>
                <c:pt idx="1">
                  <c:v>207.3355052931766</c:v>
                </c:pt>
                <c:pt idx="2">
                  <c:v>378.56377805238952</c:v>
                </c:pt>
              </c:numCache>
            </c:numRef>
          </c:xVal>
          <c:yVal>
            <c:numRef>
              <c:f>Oblicz!$O$39:$Q$39</c:f>
              <c:numCache>
                <c:formatCode>0.00</c:formatCode>
                <c:ptCount val="3"/>
                <c:pt idx="0">
                  <c:v>562.5</c:v>
                </c:pt>
                <c:pt idx="1">
                  <c:v>562.5</c:v>
                </c:pt>
                <c:pt idx="2">
                  <c:v>562.5</c:v>
                </c:pt>
              </c:numCache>
            </c:numRef>
          </c:yVal>
          <c:smooth val="1"/>
        </c:ser>
        <c:ser>
          <c:idx val="4"/>
          <c:order val="4"/>
          <c:tx>
            <c:v>Min M</c:v>
          </c:tx>
          <c:spPr>
            <a:ln w="12700">
              <a:solidFill>
                <a:srgbClr val="008000"/>
              </a:solidFill>
              <a:prstDash val="sysDash"/>
            </a:ln>
          </c:spPr>
          <c:marker>
            <c:symbol val="none"/>
          </c:marker>
          <c:dLbls>
            <c:dLbl>
              <c:idx val="1"/>
              <c:layout/>
              <c:tx>
                <c:rich>
                  <a:bodyPr/>
                  <a:lstStyle/>
                  <a:p>
                    <a:pPr>
                      <a:defRPr sz="900" b="0" i="0" u="none" strike="noStrike" baseline="0">
                        <a:solidFill>
                          <a:srgbClr val="993300"/>
                        </a:solidFill>
                        <a:latin typeface="Arial"/>
                        <a:ea typeface="Arial"/>
                        <a:cs typeface="Arial"/>
                      </a:defRPr>
                    </a:pPr>
                    <a:r>
                      <a:rPr lang="pl-PL"/>
                      <a:t>M min</a:t>
                    </a:r>
                  </a:p>
                </c:rich>
              </c:tx>
              <c:spPr>
                <a:solidFill>
                  <a:srgbClr val="FFFFFF"/>
                </a:solidFill>
                <a:ln w="3175">
                  <a:solidFill>
                    <a:srgbClr val="008000"/>
                  </a:solidFill>
                  <a:prstDash val="solid"/>
                </a:ln>
              </c:spPr>
              <c:dLblPos val="ctr"/>
              <c:showLegendKey val="0"/>
              <c:showVal val="0"/>
              <c:showCatName val="0"/>
              <c:showSerName val="0"/>
              <c:showPercent val="0"/>
              <c:showBubbleSize val="0"/>
            </c:dLbl>
            <c:showLegendKey val="0"/>
            <c:showVal val="0"/>
            <c:showCatName val="0"/>
            <c:showSerName val="0"/>
            <c:showPercent val="0"/>
            <c:showBubbleSize val="0"/>
          </c:dLbls>
          <c:xVal>
            <c:numRef>
              <c:f>Oblicz!$S$38:$U$38</c:f>
              <c:numCache>
                <c:formatCode>0.00</c:formatCode>
                <c:ptCount val="3"/>
                <c:pt idx="0">
                  <c:v>0</c:v>
                </c:pt>
                <c:pt idx="1">
                  <c:v>65.031362129163071</c:v>
                </c:pt>
                <c:pt idx="2">
                  <c:v>130.06272425832614</c:v>
                </c:pt>
              </c:numCache>
            </c:numRef>
          </c:xVal>
          <c:yVal>
            <c:numRef>
              <c:f>Oblicz!$S$39:$U$39</c:f>
              <c:numCache>
                <c:formatCode>0.00</c:formatCode>
                <c:ptCount val="3"/>
                <c:pt idx="0">
                  <c:v>0</c:v>
                </c:pt>
                <c:pt idx="1">
                  <c:v>3251.5681064581536</c:v>
                </c:pt>
                <c:pt idx="2">
                  <c:v>6503.1362129163072</c:v>
                </c:pt>
              </c:numCache>
            </c:numRef>
          </c:yVal>
          <c:smooth val="1"/>
        </c:ser>
        <c:dLbls>
          <c:showLegendKey val="0"/>
          <c:showVal val="0"/>
          <c:showCatName val="0"/>
          <c:showSerName val="0"/>
          <c:showPercent val="0"/>
          <c:showBubbleSize val="0"/>
        </c:dLbls>
        <c:axId val="174461312"/>
        <c:axId val="174463232"/>
      </c:scatterChart>
      <c:valAx>
        <c:axId val="174461312"/>
        <c:scaling>
          <c:orientation val="minMax"/>
        </c:scaling>
        <c:delete val="0"/>
        <c:axPos val="b"/>
        <c:majorGridlines>
          <c:spPr>
            <a:ln w="3175">
              <a:solidFill>
                <a:srgbClr val="969696"/>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l-PL" sz="1200" b="0" i="0" u="none" strike="noStrike" baseline="0">
                    <a:solidFill>
                      <a:srgbClr val="000000"/>
                    </a:solidFill>
                    <a:latin typeface="Marker"/>
                  </a:rPr>
                  <a:t>Moment zginający M</a:t>
                </a:r>
                <a:r>
                  <a:rPr lang="pl-PL" sz="1200" b="0" i="0" u="none" strike="noStrike" baseline="-25000">
                    <a:solidFill>
                      <a:srgbClr val="000000"/>
                    </a:solidFill>
                    <a:latin typeface="Marker"/>
                  </a:rPr>
                  <a:t>y</a:t>
                </a:r>
                <a:r>
                  <a:rPr lang="pl-PL" sz="1200" b="0" i="0" u="none" strike="noStrike" baseline="0">
                    <a:solidFill>
                      <a:srgbClr val="000000"/>
                    </a:solidFill>
                    <a:latin typeface="Marker"/>
                  </a:rPr>
                  <a:t> [</a:t>
                </a:r>
                <a:r>
                  <a:rPr lang="pl-PL" sz="1200" b="0" i="0" u="none" strike="noStrike" baseline="0">
                    <a:solidFill>
                      <a:srgbClr val="000000"/>
                    </a:solidFill>
                    <a:latin typeface="Tekton"/>
                  </a:rPr>
                  <a:t>kNm]</a:t>
                </a:r>
              </a:p>
              <a:p>
                <a:pPr>
                  <a:defRPr sz="1100" b="0" i="0" u="none" strike="noStrike" baseline="0">
                    <a:solidFill>
                      <a:srgbClr val="000000"/>
                    </a:solidFill>
                    <a:latin typeface="Calibri"/>
                    <a:ea typeface="Calibri"/>
                    <a:cs typeface="Calibri"/>
                  </a:defRPr>
                </a:pPr>
                <a:endParaRPr lang="pl-PL" sz="1200" b="0" i="0" u="none" strike="noStrike" baseline="0">
                  <a:solidFill>
                    <a:srgbClr val="000000"/>
                  </a:solidFill>
                  <a:latin typeface="Tekton"/>
                </a:endParaRPr>
              </a:p>
            </c:rich>
          </c:tx>
          <c:layout>
            <c:manualLayout>
              <c:xMode val="edge"/>
              <c:yMode val="edge"/>
              <c:x val="0.44712242005129171"/>
              <c:y val="0.92538722359275905"/>
            </c:manualLayout>
          </c:layout>
          <c:overlay val="0"/>
          <c:spPr>
            <a:noFill/>
            <a:ln w="25400">
              <a:noFill/>
            </a:ln>
          </c:spPr>
        </c:title>
        <c:numFmt formatCode="0" sourceLinked="0"/>
        <c:majorTickMark val="out"/>
        <c:minorTickMark val="none"/>
        <c:tickLblPos val="low"/>
        <c:spPr>
          <a:ln w="25400">
            <a:solidFill>
              <a:srgbClr val="000000"/>
            </a:solidFill>
            <a:prstDash val="solid"/>
          </a:ln>
        </c:spPr>
        <c:txPr>
          <a:bodyPr rot="0" vert="horz"/>
          <a:lstStyle/>
          <a:p>
            <a:pPr>
              <a:defRPr sz="1200" b="0" i="0" u="none" strike="noStrike" baseline="0">
                <a:solidFill>
                  <a:srgbClr val="008000"/>
                </a:solidFill>
                <a:latin typeface="Tekton"/>
                <a:ea typeface="Tekton"/>
                <a:cs typeface="Tekton"/>
              </a:defRPr>
            </a:pPr>
            <a:endParaRPr lang="pl-PL"/>
          </a:p>
        </c:txPr>
        <c:crossAx val="174463232"/>
        <c:crosses val="autoZero"/>
        <c:crossBetween val="midCat"/>
      </c:valAx>
      <c:valAx>
        <c:axId val="174463232"/>
        <c:scaling>
          <c:orientation val="minMax"/>
        </c:scaling>
        <c:delete val="0"/>
        <c:axPos val="l"/>
        <c:majorGridlines>
          <c:spPr>
            <a:ln w="3175">
              <a:solidFill>
                <a:srgbClr val="969696"/>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l-PL" sz="1200" b="0" i="0" u="none" strike="noStrike" baseline="0">
                    <a:solidFill>
                      <a:srgbClr val="000000"/>
                    </a:solidFill>
                    <a:latin typeface="Marker"/>
                  </a:rPr>
                  <a:t>Siła osiowa ściskająca N</a:t>
                </a:r>
                <a:r>
                  <a:rPr lang="pl-PL" sz="1200" b="0" i="0" u="none" strike="noStrike" baseline="0">
                    <a:solidFill>
                      <a:srgbClr val="000000"/>
                    </a:solidFill>
                    <a:latin typeface="Tekton"/>
                  </a:rPr>
                  <a:t> [ kN]</a:t>
                </a:r>
              </a:p>
            </c:rich>
          </c:tx>
          <c:layout>
            <c:manualLayout>
              <c:xMode val="edge"/>
              <c:yMode val="edge"/>
              <c:x val="2.4096318085109286E-2"/>
              <c:y val="0.26178060896894328"/>
            </c:manualLayout>
          </c:layout>
          <c:overlay val="0"/>
          <c:spPr>
            <a:solidFill>
              <a:srgbClr val="FFFFFF"/>
            </a:solidFill>
            <a:ln w="25400">
              <a:noFill/>
            </a:ln>
          </c:spPr>
        </c:title>
        <c:numFmt formatCode="0" sourceLinked="0"/>
        <c:majorTickMark val="out"/>
        <c:minorTickMark val="none"/>
        <c:tickLblPos val="low"/>
        <c:spPr>
          <a:ln w="25400">
            <a:solidFill>
              <a:srgbClr val="000000"/>
            </a:solidFill>
            <a:prstDash val="solid"/>
          </a:ln>
        </c:spPr>
        <c:txPr>
          <a:bodyPr rot="0" vert="horz"/>
          <a:lstStyle/>
          <a:p>
            <a:pPr>
              <a:defRPr sz="1200" b="0" i="0" u="none" strike="noStrike" baseline="0">
                <a:solidFill>
                  <a:srgbClr val="0000FF"/>
                </a:solidFill>
                <a:latin typeface="Tekton"/>
                <a:ea typeface="Tekton"/>
                <a:cs typeface="Tekton"/>
              </a:defRPr>
            </a:pPr>
            <a:endParaRPr lang="pl-PL"/>
          </a:p>
        </c:txPr>
        <c:crossAx val="174461312"/>
        <c:crosses val="autoZero"/>
        <c:crossBetween val="midCat"/>
      </c:valAx>
      <c:spPr>
        <a:solidFill>
          <a:srgbClr val="EAEAEA"/>
        </a:solidFill>
        <a:ln w="3175">
          <a:solidFill>
            <a:srgbClr val="993300"/>
          </a:solidFill>
          <a:prstDash val="solid"/>
        </a:ln>
      </c:spPr>
    </c:plotArea>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pl-PL"/>
    </a:p>
  </c:txPr>
  <c:printSettings>
    <c:headerFooter alignWithMargins="0"/>
    <c:pageMargins b="1" l="0.75000000000000022" r="0.75000000000000022" t="1" header="0.5" footer="0.5"/>
    <c:pageSetup paperSize="9" orientation="landscape" horizontalDpi="300" verticalDpi="300"/>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Drop" dropLines="4" dropStyle="combo" dx="20" fmlaLink="Robol!$B$20" fmlaRange="Robol!$B$16:$B$19" noThreeD="1" sel="4" val="0"/>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68580</xdr:colOff>
      <xdr:row>8</xdr:row>
      <xdr:rowOff>167640</xdr:rowOff>
    </xdr:from>
    <xdr:to>
      <xdr:col>10</xdr:col>
      <xdr:colOff>373380</xdr:colOff>
      <xdr:row>15</xdr:row>
      <xdr:rowOff>220980</xdr:rowOff>
    </xdr:to>
    <xdr:graphicFrame macro="">
      <xdr:nvGraphicFramePr>
        <xdr:cNvPr id="1543" name="Wykre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22</xdr:row>
      <xdr:rowOff>182880</xdr:rowOff>
    </xdr:from>
    <xdr:to>
      <xdr:col>10</xdr:col>
      <xdr:colOff>525780</xdr:colOff>
      <xdr:row>50</xdr:row>
      <xdr:rowOff>53340</xdr:rowOff>
    </xdr:to>
    <xdr:graphicFrame macro="">
      <xdr:nvGraphicFramePr>
        <xdr:cNvPr id="1544" name="Wykre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396240</xdr:colOff>
      <xdr:row>4</xdr:row>
      <xdr:rowOff>182880</xdr:rowOff>
    </xdr:from>
    <xdr:to>
      <xdr:col>7</xdr:col>
      <xdr:colOff>784860</xdr:colOff>
      <xdr:row>5</xdr:row>
      <xdr:rowOff>182880</xdr:rowOff>
    </xdr:to>
    <xdr:pic>
      <xdr:nvPicPr>
        <xdr:cNvPr id="1545"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17820" y="1196340"/>
          <a:ext cx="38862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1</xdr:row>
      <xdr:rowOff>45720</xdr:rowOff>
    </xdr:from>
    <xdr:to>
      <xdr:col>7</xdr:col>
      <xdr:colOff>571500</xdr:colOff>
      <xdr:row>3</xdr:row>
      <xdr:rowOff>83820</xdr:rowOff>
    </xdr:to>
    <xdr:pic>
      <xdr:nvPicPr>
        <xdr:cNvPr id="1546" name="Obraz 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04360" y="243840"/>
          <a:ext cx="118872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218073</xdr:colOff>
      <xdr:row>36</xdr:row>
      <xdr:rowOff>94119</xdr:rowOff>
    </xdr:from>
    <xdr:to>
      <xdr:col>11</xdr:col>
      <xdr:colOff>1935068</xdr:colOff>
      <xdr:row>41</xdr:row>
      <xdr:rowOff>15187</xdr:rowOff>
    </xdr:to>
    <xdr:sp macro="" textlink="">
      <xdr:nvSpPr>
        <xdr:cNvPr id="2" name="pole tekstowe 1"/>
        <xdr:cNvSpPr txBox="1"/>
      </xdr:nvSpPr>
      <xdr:spPr>
        <a:xfrm>
          <a:off x="8271827" y="7620334"/>
          <a:ext cx="1716995" cy="917530"/>
        </a:xfrm>
        <a:prstGeom prst="rect">
          <a:avLst/>
        </a:prstGeom>
        <a:solidFill>
          <a:schemeClr val="accent2">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pl-PL" sz="1000" b="0" i="0" u="none" strike="noStrike">
              <a:solidFill>
                <a:schemeClr val="dk1"/>
              </a:solidFill>
              <a:effectLst/>
              <a:latin typeface="+mn-lt"/>
              <a:ea typeface="+mn-ea"/>
              <a:cs typeface="+mn-cs"/>
            </a:rPr>
            <a:t>Z lewej strony zielonej linii kropkowej</a:t>
          </a:r>
          <a:r>
            <a:rPr lang="pl-PL" sz="1000" b="0"/>
            <a:t> </a:t>
          </a:r>
          <a:r>
            <a:rPr lang="pl-PL" sz="1000" b="0" i="0" u="none" strike="noStrike">
              <a:solidFill>
                <a:schemeClr val="dk1"/>
              </a:solidFill>
              <a:effectLst/>
              <a:latin typeface="+mn-lt"/>
              <a:ea typeface="+mn-ea"/>
              <a:cs typeface="+mn-cs"/>
            </a:rPr>
            <a:t>zmienia się spód pręta</a:t>
          </a:r>
          <a:r>
            <a:rPr lang="pl-PL" sz="1000" b="0"/>
            <a:t> </a:t>
          </a:r>
          <a:r>
            <a:rPr lang="pl-PL" sz="1000" b="0" i="0" u="none" strike="noStrike">
              <a:solidFill>
                <a:schemeClr val="dk1"/>
              </a:solidFill>
              <a:effectLst/>
              <a:latin typeface="+mn-lt"/>
              <a:ea typeface="+mn-ea"/>
              <a:cs typeface="+mn-cs"/>
            </a:rPr>
            <a:t>(zbrojenie dolne zmienia się rolą z górnym)</a:t>
          </a:r>
          <a:r>
            <a:rPr lang="pl-PL" sz="1000" b="0"/>
            <a:t> </a:t>
          </a:r>
          <a:r>
            <a:rPr lang="pl-PL" sz="1000" b="0" i="0" u="none" strike="noStrike">
              <a:solidFill>
                <a:schemeClr val="dk1"/>
              </a:solidFill>
              <a:effectLst/>
              <a:latin typeface="+mn-lt"/>
              <a:ea typeface="+mn-ea"/>
              <a:cs typeface="+mn-cs"/>
            </a:rPr>
            <a:t>Należy skorygować dane  dotyczące  zbrojenia</a:t>
          </a:r>
          <a:r>
            <a:rPr lang="pl-PL" sz="1000" b="0"/>
            <a:t> </a:t>
          </a:r>
        </a:p>
      </xdr:txBody>
    </xdr:sp>
    <xdr:clientData/>
  </xdr:twoCellAnchor>
  <xdr:twoCellAnchor>
    <xdr:from>
      <xdr:col>10</xdr:col>
      <xdr:colOff>304800</xdr:colOff>
      <xdr:row>37</xdr:row>
      <xdr:rowOff>15240</xdr:rowOff>
    </xdr:from>
    <xdr:to>
      <xdr:col>11</xdr:col>
      <xdr:colOff>220980</xdr:colOff>
      <xdr:row>38</xdr:row>
      <xdr:rowOff>152400</xdr:rowOff>
    </xdr:to>
    <xdr:cxnSp macro="">
      <xdr:nvCxnSpPr>
        <xdr:cNvPr id="1548" name="Łącznik prosty ze strzałką 3"/>
        <xdr:cNvCxnSpPr>
          <a:cxnSpLocks noChangeShapeType="1"/>
          <a:stCxn id="2" idx="1"/>
        </xdr:cNvCxnSpPr>
      </xdr:nvCxnSpPr>
      <xdr:spPr bwMode="auto">
        <a:xfrm flipH="1" flipV="1">
          <a:off x="7673340" y="7719060"/>
          <a:ext cx="579120" cy="335280"/>
        </a:xfrm>
        <a:prstGeom prst="straightConnector1">
          <a:avLst/>
        </a:prstGeom>
        <a:noFill/>
        <a:ln w="31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8</xdr:col>
          <xdr:colOff>396240</xdr:colOff>
          <xdr:row>17</xdr:row>
          <xdr:rowOff>106680</xdr:rowOff>
        </xdr:from>
        <xdr:to>
          <xdr:col>10</xdr:col>
          <xdr:colOff>152400</xdr:colOff>
          <xdr:row>19</xdr:row>
          <xdr:rowOff>22860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pl-PL" sz="1200" b="0" i="0" u="none" strike="noStrike" baseline="0">
                  <a:solidFill>
                    <a:srgbClr val="000000"/>
                  </a:solidFill>
                  <a:latin typeface="Tekton"/>
                </a:rPr>
                <a:t>Drukuj</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281940</xdr:colOff>
          <xdr:row>7</xdr:row>
          <xdr:rowOff>22860</xdr:rowOff>
        </xdr:from>
        <xdr:to>
          <xdr:col>6</xdr:col>
          <xdr:colOff>342900</xdr:colOff>
          <xdr:row>8</xdr:row>
          <xdr:rowOff>68580</xdr:rowOff>
        </xdr:to>
        <xdr:sp macro="" textlink="">
          <xdr:nvSpPr>
            <xdr:cNvPr id="1050" name="Drop Down 26" hidden="1">
              <a:extLst>
                <a:ext uri="{63B3BB69-23CF-44E3-9099-C40C66FF867C}">
                  <a14:compatExt spid="_x0000_s1050"/>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59</xdr:col>
      <xdr:colOff>182880</xdr:colOff>
      <xdr:row>2</xdr:row>
      <xdr:rowOff>30480</xdr:rowOff>
    </xdr:from>
    <xdr:to>
      <xdr:col>59</xdr:col>
      <xdr:colOff>944880</xdr:colOff>
      <xdr:row>3</xdr:row>
      <xdr:rowOff>182880</xdr:rowOff>
    </xdr:to>
    <xdr:pic>
      <xdr:nvPicPr>
        <xdr:cNvPr id="4344"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049660" y="502920"/>
          <a:ext cx="7620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182880</xdr:colOff>
      <xdr:row>1</xdr:row>
      <xdr:rowOff>114300</xdr:rowOff>
    </xdr:from>
    <xdr:to>
      <xdr:col>30</xdr:col>
      <xdr:colOff>563880</xdr:colOff>
      <xdr:row>3</xdr:row>
      <xdr:rowOff>167640</xdr:rowOff>
    </xdr:to>
    <xdr:pic>
      <xdr:nvPicPr>
        <xdr:cNvPr id="4345" name="Obraz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817060" y="289560"/>
          <a:ext cx="145542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388620</xdr:colOff>
      <xdr:row>1</xdr:row>
      <xdr:rowOff>114300</xdr:rowOff>
    </xdr:from>
    <xdr:to>
      <xdr:col>55</xdr:col>
      <xdr:colOff>769620</xdr:colOff>
      <xdr:row>3</xdr:row>
      <xdr:rowOff>160020</xdr:rowOff>
    </xdr:to>
    <xdr:pic>
      <xdr:nvPicPr>
        <xdr:cNvPr id="4346" name="Obraz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883300" y="289560"/>
          <a:ext cx="1455420" cy="632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hodor-projekt.net/encyclopedia/nowy-algorytm-projektowania-zelbet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A58"/>
  <sheetViews>
    <sheetView showGridLines="0" showRowColHeaders="0" tabSelected="1" zoomScale="65" zoomScaleNormal="65" workbookViewId="0">
      <selection activeCell="H11" sqref="H11"/>
    </sheetView>
  </sheetViews>
  <sheetFormatPr defaultColWidth="9.109375" defaultRowHeight="15"/>
  <cols>
    <col min="1" max="1" width="5.5546875" style="24" customWidth="1"/>
    <col min="2" max="2" width="16.33203125" style="24" customWidth="1"/>
    <col min="3" max="3" width="10.6640625" style="24" customWidth="1"/>
    <col min="4" max="4" width="9.6640625" style="24" customWidth="1"/>
    <col min="5" max="5" width="10.6640625" style="24" customWidth="1"/>
    <col min="6" max="6" width="9.6640625" style="24" customWidth="1"/>
    <col min="7" max="7" width="10.6640625" style="55" customWidth="1"/>
    <col min="8" max="8" width="11.88671875" style="24" customWidth="1"/>
    <col min="9" max="9" width="10.88671875" style="24" customWidth="1"/>
    <col min="10" max="10" width="11.44140625" style="24" customWidth="1"/>
    <col min="11" max="11" width="9.6640625" style="24" customWidth="1"/>
    <col min="12" max="12" width="64" style="156" customWidth="1"/>
    <col min="13" max="16384" width="9.109375" style="24"/>
  </cols>
  <sheetData>
    <row r="1" spans="1:53" ht="15.6" thickBot="1">
      <c r="G1" s="24"/>
      <c r="L1" s="166" t="s">
        <v>230</v>
      </c>
    </row>
    <row r="2" spans="1:53" ht="31.5" customHeight="1" thickTop="1" thickBot="1">
      <c r="A2" s="107"/>
      <c r="B2" s="105" t="s">
        <v>14</v>
      </c>
      <c r="C2" s="56" t="s">
        <v>238</v>
      </c>
      <c r="D2" s="89"/>
      <c r="E2" s="89"/>
      <c r="F2" s="89"/>
      <c r="G2" s="90"/>
      <c r="H2" s="90"/>
      <c r="I2" s="91" t="s">
        <v>15</v>
      </c>
      <c r="J2" s="26"/>
      <c r="K2" s="27"/>
      <c r="L2" s="158" t="s">
        <v>202</v>
      </c>
    </row>
    <row r="3" spans="1:53" ht="15.6" thickTop="1">
      <c r="A3" s="107"/>
      <c r="B3" s="106" t="s">
        <v>16</v>
      </c>
      <c r="C3" s="57" t="s">
        <v>192</v>
      </c>
      <c r="D3" s="29"/>
      <c r="E3" s="30"/>
      <c r="F3" s="92"/>
      <c r="G3" s="92"/>
      <c r="H3" s="92"/>
      <c r="I3" s="31" t="s">
        <v>17</v>
      </c>
      <c r="J3" s="29" t="s">
        <v>18</v>
      </c>
      <c r="K3" s="32" t="s">
        <v>19</v>
      </c>
      <c r="L3" s="159" t="s">
        <v>231</v>
      </c>
    </row>
    <row r="4" spans="1:53" ht="17.399999999999999">
      <c r="A4" s="107"/>
      <c r="B4" s="106" t="s">
        <v>20</v>
      </c>
      <c r="C4" s="57" t="s">
        <v>239</v>
      </c>
      <c r="D4" s="30"/>
      <c r="E4" s="30"/>
      <c r="F4" s="93"/>
      <c r="G4" s="93"/>
      <c r="H4" s="93"/>
      <c r="I4" s="78" t="s">
        <v>21</v>
      </c>
      <c r="J4" s="85">
        <f ca="1">TODAY()</f>
        <v>43192</v>
      </c>
      <c r="K4" s="79">
        <v>25</v>
      </c>
      <c r="L4" s="160" t="s">
        <v>201</v>
      </c>
    </row>
    <row r="5" spans="1:53" ht="17.399999999999999">
      <c r="A5" s="107"/>
      <c r="B5" s="34" t="s">
        <v>259</v>
      </c>
      <c r="D5" s="35"/>
      <c r="E5" s="94"/>
      <c r="F5" s="93"/>
      <c r="G5" s="93"/>
      <c r="H5" s="93"/>
      <c r="I5" s="36" t="s">
        <v>190</v>
      </c>
      <c r="J5" s="37" t="s">
        <v>191</v>
      </c>
      <c r="K5" s="38" t="s">
        <v>22</v>
      </c>
      <c r="L5" s="161" t="s">
        <v>258</v>
      </c>
    </row>
    <row r="6" spans="1:53" ht="17.399999999999999">
      <c r="A6" s="107"/>
      <c r="B6" s="112" t="s">
        <v>260</v>
      </c>
      <c r="D6" s="112"/>
      <c r="E6" s="113"/>
      <c r="F6" s="114"/>
      <c r="G6" s="112"/>
      <c r="H6" s="114"/>
      <c r="I6" s="115" t="s">
        <v>23</v>
      </c>
      <c r="J6" s="116" t="s">
        <v>10</v>
      </c>
      <c r="K6" s="117" t="s">
        <v>196</v>
      </c>
      <c r="L6" s="162" t="str">
        <f>IF(OR(f_ck&gt;99,f_ck&lt;25),"Beton niekonstrukcyjny fcu&lt;25","-")</f>
        <v>-</v>
      </c>
      <c r="AH6" s="33"/>
      <c r="AI6" s="33"/>
      <c r="AJ6" s="33"/>
      <c r="AK6" s="33"/>
      <c r="AL6" s="33"/>
      <c r="AM6" s="77"/>
      <c r="AN6" s="77"/>
      <c r="AO6" s="77"/>
      <c r="AP6" s="77"/>
      <c r="AQ6" s="77"/>
      <c r="AR6" s="77"/>
      <c r="AS6" s="77"/>
      <c r="AT6" s="77"/>
      <c r="AU6" s="77"/>
      <c r="AV6" s="77"/>
      <c r="AW6" s="77"/>
      <c r="AX6" s="77"/>
      <c r="AY6" s="77"/>
      <c r="AZ6" s="77"/>
      <c r="BA6" s="77"/>
    </row>
    <row r="7" spans="1:53">
      <c r="B7" s="118"/>
      <c r="C7" s="119"/>
      <c r="D7" s="119"/>
      <c r="E7" s="119"/>
      <c r="F7" s="168"/>
      <c r="G7" s="120"/>
      <c r="H7" s="120"/>
      <c r="I7" s="120"/>
      <c r="J7" s="120"/>
      <c r="K7" s="121"/>
      <c r="L7" s="162" t="str">
        <f>IF(OR(f_yk&gt;500,f_yk &lt;250),"Sprawdź fy stali","-")</f>
        <v>-</v>
      </c>
      <c r="AH7" s="33"/>
      <c r="AI7" s="33"/>
      <c r="AJ7" s="33"/>
      <c r="AK7" s="33"/>
      <c r="AL7" s="33"/>
      <c r="AM7" s="77"/>
      <c r="AN7" s="77"/>
      <c r="AO7" s="77"/>
      <c r="AP7" s="77"/>
      <c r="AQ7" s="77"/>
      <c r="AR7" s="77"/>
      <c r="AS7" s="77"/>
      <c r="AT7" s="77"/>
      <c r="AU7" s="77"/>
      <c r="AV7" s="77"/>
      <c r="AW7" s="77"/>
      <c r="AX7" s="77"/>
      <c r="AY7" s="77"/>
      <c r="AZ7" s="77"/>
      <c r="BA7" s="77"/>
    </row>
    <row r="8" spans="1:53">
      <c r="B8" s="141"/>
      <c r="C8" s="142" t="s">
        <v>203</v>
      </c>
      <c r="D8" s="110"/>
      <c r="E8" s="110"/>
      <c r="F8" s="167"/>
      <c r="G8" s="58"/>
      <c r="H8" s="58"/>
      <c r="I8" s="58"/>
      <c r="J8" s="58"/>
      <c r="K8" s="122"/>
      <c r="L8" s="162" t="str">
        <f>IF(AND( klasa&lt;&gt;"A", klasa&lt;&gt;"B",klasa&lt;&gt;"C"),"Uwaga: klasa plastyczności stali może być tylko A,B lub C","-")</f>
        <v>-</v>
      </c>
      <c r="AH8" s="33"/>
      <c r="AI8" s="33"/>
      <c r="AJ8" s="33"/>
      <c r="AK8" s="33"/>
      <c r="AL8" s="33"/>
      <c r="AM8" s="77"/>
      <c r="AN8" s="77"/>
      <c r="AO8" s="77"/>
      <c r="AP8" s="77"/>
      <c r="AQ8" s="77"/>
      <c r="AR8" s="77"/>
      <c r="AS8" s="77"/>
      <c r="AT8" s="77"/>
      <c r="AU8" s="77"/>
      <c r="AV8" s="77"/>
      <c r="AW8" s="77"/>
      <c r="AX8" s="77"/>
      <c r="AY8" s="77"/>
      <c r="AZ8" s="77"/>
      <c r="BA8" s="77"/>
    </row>
    <row r="9" spans="1:53">
      <c r="B9" s="123" t="s">
        <v>24</v>
      </c>
      <c r="C9" s="58"/>
      <c r="D9" s="58"/>
      <c r="E9" s="58"/>
      <c r="F9" s="58"/>
      <c r="G9" s="111"/>
      <c r="H9" s="111"/>
      <c r="I9" s="111"/>
      <c r="J9" s="111"/>
      <c r="K9" s="124"/>
      <c r="L9" s="163" t="str">
        <f>IF(c_u &gt;65,"Możłiwe zbyt duże otulenie górne - sprawdź z warunku klasy ekspozycji","-")</f>
        <v>-</v>
      </c>
      <c r="AI9" s="33"/>
      <c r="AJ9" s="33"/>
      <c r="AK9" s="33"/>
      <c r="AL9" s="33"/>
      <c r="AM9" s="33"/>
    </row>
    <row r="10" spans="1:53" ht="18.600000000000001">
      <c r="B10" s="125" t="s">
        <v>25</v>
      </c>
      <c r="C10" s="87">
        <v>35</v>
      </c>
      <c r="D10" s="76" t="s">
        <v>0</v>
      </c>
      <c r="E10" s="60" t="s">
        <v>8</v>
      </c>
      <c r="F10" s="88">
        <v>1.4</v>
      </c>
      <c r="G10" s="126"/>
      <c r="H10" s="58"/>
      <c r="I10" s="62"/>
      <c r="J10" s="63"/>
      <c r="K10" s="127"/>
      <c r="L10" s="163" t="str">
        <f>IF(c_l &gt;65,"Możłiwe zbyt duże otulenie dolne - sprawdź z warunku klasy ekspozycji","-")</f>
        <v>-</v>
      </c>
      <c r="AH10" s="41"/>
      <c r="AI10" s="33"/>
    </row>
    <row r="11" spans="1:53" ht="18.600000000000001">
      <c r="B11" s="125" t="s">
        <v>55</v>
      </c>
      <c r="C11" s="87">
        <v>500</v>
      </c>
      <c r="D11" s="76" t="s">
        <v>0</v>
      </c>
      <c r="E11" s="60" t="s">
        <v>7</v>
      </c>
      <c r="F11" s="59">
        <v>1.1499999999999999</v>
      </c>
      <c r="G11" s="128" t="s">
        <v>237</v>
      </c>
      <c r="H11" s="59" t="s">
        <v>198</v>
      </c>
      <c r="I11" s="58"/>
      <c r="J11" s="58"/>
      <c r="K11" s="127"/>
      <c r="L11" s="162" t="str">
        <f>IF(OR(S_min&lt;F_u,S_min&lt;F_l,S_min&lt;20),"Za mały prześwit między oprętami.","-")</f>
        <v>-</v>
      </c>
    </row>
    <row r="12" spans="1:53">
      <c r="B12" s="129"/>
      <c r="C12" s="58"/>
      <c r="D12" s="64"/>
      <c r="E12" s="58"/>
      <c r="F12" s="58"/>
      <c r="G12" s="65"/>
      <c r="H12" s="58"/>
      <c r="I12" s="58"/>
      <c r="J12" s="58"/>
      <c r="K12" s="127"/>
      <c r="L12" s="162" t="str">
        <f>IF(OR(c_u&lt;20,c_l&lt;20,c_r&lt;20),"Za małe otulenie zbrojenia. Sprawdź z warunku klasy ekspozycji","-")</f>
        <v>-</v>
      </c>
    </row>
    <row r="13" spans="1:53">
      <c r="B13" s="123" t="s">
        <v>26</v>
      </c>
      <c r="C13" s="58"/>
      <c r="D13" s="64"/>
      <c r="E13" s="66" t="s">
        <v>30</v>
      </c>
      <c r="F13" s="96" t="s">
        <v>34</v>
      </c>
      <c r="G13" s="126"/>
      <c r="H13" s="58"/>
      <c r="I13" s="58"/>
      <c r="J13" s="58"/>
      <c r="K13" s="127"/>
      <c r="L13" s="162" t="str">
        <f>IF(S_min &lt; 50,"Maksymalna średnica kruszywa = "&amp;  ROUND(S_min-5,1) &amp; " mm","-")</f>
        <v>-</v>
      </c>
    </row>
    <row r="14" spans="1:53" ht="18.600000000000001">
      <c r="B14" s="125" t="s">
        <v>1</v>
      </c>
      <c r="C14" s="87">
        <v>450</v>
      </c>
      <c r="D14" s="76" t="s">
        <v>2</v>
      </c>
      <c r="E14" s="95" t="s">
        <v>31</v>
      </c>
      <c r="F14" s="87">
        <v>30</v>
      </c>
      <c r="G14" s="76" t="s">
        <v>2</v>
      </c>
      <c r="H14" s="58"/>
      <c r="I14" s="58"/>
      <c r="J14" s="58"/>
      <c r="K14" s="127"/>
      <c r="L14" s="161" t="s">
        <v>218</v>
      </c>
      <c r="O14" s="33"/>
      <c r="P14" s="33"/>
      <c r="Q14" s="33"/>
      <c r="R14" s="33"/>
      <c r="S14" s="33"/>
      <c r="AD14" s="33"/>
      <c r="AE14" s="33"/>
      <c r="AF14" s="33"/>
    </row>
    <row r="15" spans="1:53" ht="18.600000000000001">
      <c r="B15" s="125" t="s">
        <v>3</v>
      </c>
      <c r="C15" s="87">
        <v>500</v>
      </c>
      <c r="D15" s="76" t="s">
        <v>2</v>
      </c>
      <c r="E15" s="95" t="s">
        <v>32</v>
      </c>
      <c r="F15" s="87">
        <v>30</v>
      </c>
      <c r="G15" s="76" t="s">
        <v>2</v>
      </c>
      <c r="H15" s="58"/>
      <c r="I15" s="58"/>
      <c r="J15" s="58"/>
      <c r="K15" s="127"/>
      <c r="L15" s="162" t="str">
        <f>IF(AND(OR(Rodzaj_elem=1,Rodzaj_elem=2),A_st &lt; A_sminB)," Belka (płyta): zbrojenie dolne mniejsze od minimalnego Amin= "&amp; ROUND(A_sminB,1)&amp;" mm2","-")</f>
        <v>-</v>
      </c>
      <c r="O15" s="33"/>
      <c r="P15" s="33"/>
      <c r="Q15" s="33"/>
      <c r="R15" s="33"/>
      <c r="S15" s="33"/>
      <c r="AD15" s="33"/>
      <c r="AE15" s="33"/>
      <c r="AF15" s="33"/>
    </row>
    <row r="16" spans="1:53" ht="18.600000000000001">
      <c r="B16" s="130"/>
      <c r="C16" s="58"/>
      <c r="D16" s="61"/>
      <c r="E16" s="95" t="s">
        <v>33</v>
      </c>
      <c r="F16" s="87">
        <v>30</v>
      </c>
      <c r="G16" s="76" t="s">
        <v>2</v>
      </c>
      <c r="H16" s="58"/>
      <c r="I16" s="67"/>
      <c r="J16" s="67"/>
      <c r="K16" s="131"/>
      <c r="L16" s="162" t="str">
        <f>IF(AND(OR(Rodzaj_elem=1,Rodzaj_elem=2),A_sc &lt; A_sminB)," Belka (płyta): zbrojenie górne mniejsze od minimalnego Amin= "&amp; ROUND(A_sminB,1)&amp;" mm2","-")</f>
        <v>-</v>
      </c>
      <c r="N16" s="33"/>
      <c r="O16" s="44"/>
      <c r="P16" s="44"/>
      <c r="Q16" s="44"/>
      <c r="R16" s="44"/>
      <c r="S16" s="44"/>
      <c r="AD16" s="44"/>
      <c r="AE16" s="44"/>
      <c r="AF16" s="44"/>
    </row>
    <row r="17" spans="2:32">
      <c r="B17" s="123" t="s">
        <v>27</v>
      </c>
      <c r="C17" s="68"/>
      <c r="D17" s="67"/>
      <c r="E17" s="58"/>
      <c r="F17" s="69"/>
      <c r="G17" s="70"/>
      <c r="H17" s="67"/>
      <c r="I17" s="67"/>
      <c r="J17" s="67"/>
      <c r="K17" s="131"/>
      <c r="L17" s="162" t="str">
        <f>IF(AND(OR(Rodzaj_elem=3,Rodzaj_elem=4),A_st &lt; A_sminS/2)," Słup ( lub ściana): zbrojenie dolne mniejsze od minimalnego Amin= "&amp; ROUND(A_sminS/2,1)&amp;" mm2","-")</f>
        <v>-</v>
      </c>
      <c r="N17" s="33"/>
      <c r="O17" s="44"/>
      <c r="P17" s="44"/>
      <c r="Q17" s="44"/>
      <c r="R17" s="44"/>
      <c r="S17" s="44"/>
      <c r="AD17" s="44"/>
      <c r="AE17" s="44"/>
      <c r="AF17" s="44"/>
    </row>
    <row r="18" spans="2:32">
      <c r="B18" s="129"/>
      <c r="C18" s="45" t="s">
        <v>37</v>
      </c>
      <c r="D18" s="45" t="s">
        <v>38</v>
      </c>
      <c r="E18" s="45" t="s">
        <v>39</v>
      </c>
      <c r="F18" s="45" t="s">
        <v>4</v>
      </c>
      <c r="G18" s="45" t="s">
        <v>123</v>
      </c>
      <c r="H18" s="58"/>
      <c r="I18" s="58"/>
      <c r="J18" s="68"/>
      <c r="K18" s="127"/>
      <c r="L18" s="162" t="str">
        <f>IF(AND(OR(Rodzaj_elem=3,Rodzaj_elem=4),A_sc &lt; A_sminS/2)," Słup ( lub ściana): zbrojenie dolne mniejsze od minimalnego Amin= "&amp; ROUND(A_sminS/2,1)&amp;" mm2","-")</f>
        <v>-</v>
      </c>
      <c r="N18" s="33"/>
      <c r="O18" s="33"/>
      <c r="P18" s="33"/>
      <c r="Q18" s="33"/>
      <c r="R18" s="33"/>
      <c r="S18" s="33"/>
      <c r="AD18" s="33"/>
      <c r="AE18" s="33"/>
      <c r="AF18" s="33"/>
    </row>
    <row r="19" spans="2:32" ht="18.600000000000001">
      <c r="B19" s="125" t="s">
        <v>28</v>
      </c>
      <c r="C19" s="5">
        <v>12</v>
      </c>
      <c r="D19" s="5">
        <v>6</v>
      </c>
      <c r="E19" s="46">
        <f>PI()/4*F_u^2*n_u</f>
        <v>678.58401317539528</v>
      </c>
      <c r="F19" s="47">
        <f>100*E19/C$14/C$15</f>
        <v>0.30159289474462009</v>
      </c>
      <c r="G19" s="48">
        <f>(b-2*c_u-n_u*F_u)/(n_u-1)</f>
        <v>73.599999999999994</v>
      </c>
      <c r="H19" s="71" t="str">
        <f>IF(G19&lt;MAX(25,C19),"TOO MANY",IF(F19&gt;2,"As' &gt; 2%","."))</f>
        <v>.</v>
      </c>
      <c r="I19" s="70"/>
      <c r="J19" s="70"/>
      <c r="K19" s="132"/>
      <c r="L19" s="161" t="s">
        <v>219</v>
      </c>
      <c r="N19" s="33"/>
      <c r="O19" s="43"/>
      <c r="P19" s="43"/>
      <c r="Q19" s="43"/>
      <c r="R19" s="44"/>
      <c r="S19" s="43"/>
      <c r="AD19" s="44"/>
      <c r="AE19" s="44"/>
      <c r="AF19" s="44"/>
    </row>
    <row r="20" spans="2:32" ht="18.600000000000001">
      <c r="B20" s="125" t="s">
        <v>29</v>
      </c>
      <c r="C20" s="6">
        <v>12</v>
      </c>
      <c r="D20" s="6">
        <v>2</v>
      </c>
      <c r="E20" s="49">
        <f>PI()/4*F_l^2*n_l</f>
        <v>226.1946710584651</v>
      </c>
      <c r="F20" s="50">
        <f>100*E20/C$14/C$15</f>
        <v>0.10053096491487339</v>
      </c>
      <c r="G20" s="51">
        <f>(b-2*c_l-n_l*F_l)/(n_l-1)</f>
        <v>416</v>
      </c>
      <c r="H20" s="126"/>
      <c r="I20" s="170" t="s">
        <v>262</v>
      </c>
      <c r="J20" s="70"/>
      <c r="K20" s="132"/>
      <c r="L20" s="162" t="str">
        <f>IF(AND( OR(Rodzaj_elem=1,Rodzaj_elem=2),A_st &gt; A_smaxB),"Belka( lub płyta): zbrojenie dolne &gt; maksymalne poza zakładami Amax= "&amp; ROUND(A_smaxB,1)&amp;" mm2","-")</f>
        <v>-</v>
      </c>
      <c r="M20" s="33"/>
      <c r="N20" s="33"/>
      <c r="O20" s="33"/>
      <c r="P20" s="33"/>
      <c r="Q20" s="33"/>
      <c r="R20" s="33"/>
      <c r="S20" s="33"/>
      <c r="AD20" s="33"/>
      <c r="AE20" s="33"/>
      <c r="AF20" s="33"/>
    </row>
    <row r="21" spans="2:32">
      <c r="B21" s="130"/>
      <c r="C21" s="58"/>
      <c r="D21" s="58"/>
      <c r="E21" s="58"/>
      <c r="F21" s="61"/>
      <c r="G21" s="65"/>
      <c r="H21" s="72"/>
      <c r="I21" s="72"/>
      <c r="J21" s="73"/>
      <c r="K21" s="133"/>
      <c r="L21" s="162" t="str">
        <f>IF(AND( OR(Rodzaj_elem=1,Rodzaj_elem=2),A_sc &gt; A_smaxB),"Belka( lub płyta): zbrojenie górne &gt; maksymalne poza zakładami Amax= "&amp; ROUND(A_smaxB,1)&amp;" mm2","-")</f>
        <v>-</v>
      </c>
      <c r="M21" s="33"/>
      <c r="N21" s="33"/>
      <c r="O21" s="33"/>
      <c r="P21" s="33"/>
      <c r="Q21" s="33"/>
      <c r="R21" s="33"/>
      <c r="S21" s="33"/>
      <c r="AD21" s="33"/>
      <c r="AE21" s="33"/>
      <c r="AF21" s="33"/>
    </row>
    <row r="22" spans="2:32">
      <c r="B22" s="130"/>
      <c r="C22" s="58"/>
      <c r="D22" s="58"/>
      <c r="E22" s="58"/>
      <c r="F22" s="58"/>
      <c r="G22" s="126"/>
      <c r="H22" s="58"/>
      <c r="I22" s="58"/>
      <c r="J22" s="73"/>
      <c r="K22" s="133"/>
      <c r="L22" s="162" t="str">
        <f>IF(AND(OR(Rodzaj_elem=3,Rodzaj_elem=4),(A_st+A_sc) &gt; A_smaxS),"Słup (lub ściana) zbrojenie całkowite &gt; maksymalne Amax= "&amp; ROUND(A_smaxS,1)&amp;" mm2","-")</f>
        <v>-</v>
      </c>
      <c r="M22" s="33"/>
      <c r="N22" s="33"/>
      <c r="AD22" s="33"/>
      <c r="AE22" s="33"/>
      <c r="AF22" s="33"/>
    </row>
    <row r="23" spans="2:32">
      <c r="B23" s="129"/>
      <c r="C23" s="352" t="str">
        <f>Robol!B3</f>
        <v>Wykres interakcji M-N dla  przekroju 450 x 500  z betonu C35</v>
      </c>
      <c r="D23" s="353"/>
      <c r="E23" s="353"/>
      <c r="F23" s="353"/>
      <c r="G23" s="353"/>
      <c r="H23" s="353"/>
      <c r="I23" s="353"/>
      <c r="J23" s="73"/>
      <c r="K23" s="133"/>
      <c r="L23" s="161" t="s">
        <v>246</v>
      </c>
      <c r="M23" s="109"/>
      <c r="N23" s="33"/>
      <c r="O23" s="109"/>
      <c r="AD23" s="52"/>
      <c r="AE23" s="52"/>
      <c r="AF23" s="52"/>
    </row>
    <row r="24" spans="2:32">
      <c r="B24" s="129"/>
      <c r="C24" s="61"/>
      <c r="D24" s="61"/>
      <c r="E24" s="74"/>
      <c r="F24" s="61"/>
      <c r="G24" s="72"/>
      <c r="H24" s="72"/>
      <c r="I24" s="72"/>
      <c r="J24" s="73"/>
      <c r="K24" s="133"/>
      <c r="L24" s="162" t="str">
        <f>IF(AND( OR(Rodzaj_elem=1,Rodzaj_elem=2), OR(A_st=0, A_sc=0), OR(S_c&gt;S_maxB_1),S_t&gt;S_maxB_1),"Belka( lub płyta) jednokierunkowo zbrojona:  za mały rozstaw prętów górnych - Smax= "&amp; ROUND(S_maxB_1,1)&amp;" mm","-")</f>
        <v>-</v>
      </c>
      <c r="M24" s="109"/>
      <c r="AD24" s="52"/>
      <c r="AE24" s="52"/>
      <c r="AF24" s="52"/>
    </row>
    <row r="25" spans="2:32">
      <c r="B25" s="129"/>
      <c r="C25" s="61"/>
      <c r="D25" s="61"/>
      <c r="E25" s="74"/>
      <c r="F25" s="61"/>
      <c r="G25" s="72"/>
      <c r="H25" s="72"/>
      <c r="I25" s="72"/>
      <c r="J25" s="73"/>
      <c r="K25" s="133"/>
      <c r="L25" s="162" t="str">
        <f>IF(AND( OR(Rodzaj_elem=1,Rodzaj_elem=2), AND(A_st&gt;0, A_sc&gt;0), OR(S_c&gt;S_maxB_2),S_t&gt;S_maxB_2),"Belka( lub płyta) dwukierunkowo zbrojona:  za mały rozstaw prętów górnych - Smax= "&amp; ROUND(S_maxB_2,1)&amp;" mm","-")</f>
        <v>-</v>
      </c>
      <c r="M25" s="109"/>
    </row>
    <row r="26" spans="2:32">
      <c r="B26" s="129"/>
      <c r="C26" s="61"/>
      <c r="D26" s="61"/>
      <c r="E26" s="74"/>
      <c r="F26" s="61"/>
      <c r="G26" s="72"/>
      <c r="H26" s="72"/>
      <c r="I26" s="72"/>
      <c r="J26" s="73"/>
      <c r="K26" s="133"/>
      <c r="L26" s="162" t="str">
        <f>IF(AND( OR(Rodzaj_elem=2,Rodzaj_elem=3), OR(S_c&gt;S_MaxS_N1),S_t&gt;S_MaxS_N1),"Słup( lub ściana) 1 zestaw sił:  Rozstaw prętów większy od max = "&amp; ROUND(S_MaxS_N1,1)&amp;" mm","-")</f>
        <v>-</v>
      </c>
      <c r="M26" s="109"/>
    </row>
    <row r="27" spans="2:32">
      <c r="B27" s="129"/>
      <c r="C27" s="58"/>
      <c r="D27" s="58"/>
      <c r="E27" s="58"/>
      <c r="F27" s="58"/>
      <c r="G27" s="65"/>
      <c r="H27" s="58"/>
      <c r="I27" s="58"/>
      <c r="J27" s="58"/>
      <c r="K27" s="127"/>
      <c r="L27" s="162" t="str">
        <f>IF(AND( OR(Rodzaj_elem=2,Rodzaj_elem=3), OR(S_c&gt;S_maxS_N2),S_t&gt;S_maxS_N2),"Słup( lub ściana), 2 zestaw sił:  Rozstaw prętów większy od max = "&amp; ROUND(S_maxS_N2,1)&amp;" mm","-")</f>
        <v>-</v>
      </c>
      <c r="M27" s="109"/>
    </row>
    <row r="28" spans="2:32">
      <c r="B28" s="129"/>
      <c r="C28" s="58"/>
      <c r="D28" s="58"/>
      <c r="E28" s="58"/>
      <c r="F28" s="58"/>
      <c r="G28" s="65"/>
      <c r="H28" s="58"/>
      <c r="I28" s="58"/>
      <c r="J28" s="58"/>
      <c r="K28" s="127"/>
      <c r="L28" s="161" t="s">
        <v>261</v>
      </c>
    </row>
    <row r="29" spans="2:32">
      <c r="B29" s="129"/>
      <c r="C29" s="58"/>
      <c r="D29" s="58"/>
      <c r="E29" s="58"/>
      <c r="F29" s="58"/>
      <c r="G29" s="65"/>
      <c r="H29" s="58"/>
      <c r="I29" s="58"/>
      <c r="J29" s="58"/>
      <c r="K29" s="127"/>
      <c r="L29" s="162" t="str">
        <f>IF(AND( OR(Rodzaj_elem=1,Rodzaj_elem=2), OR(A_st=0, A_sc=0), OR(S_c&gt;S_maxB_1),S_t&gt;S_maxB_1),"Belka( lub płyta) jednokierunkowo zbrojona:  za mały rozstaw prętów górnych - Smax= "&amp; ROUND(S_maxB_1,1)&amp;" mm","-")</f>
        <v>-</v>
      </c>
    </row>
    <row r="30" spans="2:32">
      <c r="B30" s="129"/>
      <c r="C30" s="58"/>
      <c r="D30" s="58"/>
      <c r="E30" s="58"/>
      <c r="F30" s="58"/>
      <c r="G30" s="58"/>
      <c r="H30" s="58"/>
      <c r="I30" s="58"/>
      <c r="J30" s="58"/>
      <c r="K30" s="127"/>
      <c r="L30" s="163"/>
    </row>
    <row r="31" spans="2:32">
      <c r="B31" s="129"/>
      <c r="C31" s="58"/>
      <c r="D31" s="58"/>
      <c r="E31" s="58"/>
      <c r="F31" s="58"/>
      <c r="G31" s="58"/>
      <c r="H31" s="58"/>
      <c r="I31" s="58"/>
      <c r="J31" s="58"/>
      <c r="K31" s="127"/>
      <c r="L31" s="162"/>
    </row>
    <row r="32" spans="2:32">
      <c r="B32" s="129"/>
      <c r="C32" s="58"/>
      <c r="D32" s="58"/>
      <c r="E32" s="58"/>
      <c r="F32" s="58"/>
      <c r="G32" s="58"/>
      <c r="H32" s="58"/>
      <c r="I32" s="58"/>
      <c r="J32" s="58"/>
      <c r="K32" s="127"/>
      <c r="L32" s="162"/>
    </row>
    <row r="33" spans="2:12">
      <c r="B33" s="129"/>
      <c r="C33" s="58"/>
      <c r="D33" s="58"/>
      <c r="E33" s="58"/>
      <c r="F33" s="58"/>
      <c r="G33" s="58"/>
      <c r="H33" s="58"/>
      <c r="I33" s="58"/>
      <c r="J33" s="58"/>
      <c r="K33" s="127"/>
      <c r="L33" s="162"/>
    </row>
    <row r="34" spans="2:12">
      <c r="B34" s="129"/>
      <c r="C34" s="58"/>
      <c r="D34" s="58"/>
      <c r="E34" s="58"/>
      <c r="F34" s="58"/>
      <c r="G34" s="58"/>
      <c r="H34" s="58"/>
      <c r="I34" s="58"/>
      <c r="J34" s="58"/>
      <c r="K34" s="127"/>
      <c r="L34" s="162"/>
    </row>
    <row r="35" spans="2:12" ht="15.6">
      <c r="B35" s="129"/>
      <c r="C35" s="58"/>
      <c r="D35" s="58"/>
      <c r="E35" s="58"/>
      <c r="F35" s="58"/>
      <c r="G35" s="58"/>
      <c r="H35" s="58"/>
      <c r="I35" s="58"/>
      <c r="J35" s="58"/>
      <c r="K35" s="127"/>
      <c r="L35" s="165"/>
    </row>
    <row r="36" spans="2:12" ht="15.6">
      <c r="B36" s="129"/>
      <c r="C36" s="58"/>
      <c r="D36" s="58"/>
      <c r="E36" s="58"/>
      <c r="F36" s="58"/>
      <c r="G36" s="65"/>
      <c r="H36" s="58"/>
      <c r="I36" s="58"/>
      <c r="J36" s="58"/>
      <c r="K36" s="127"/>
      <c r="L36" s="165"/>
    </row>
    <row r="37" spans="2:12" ht="15.6">
      <c r="B37" s="129"/>
      <c r="C37" s="58"/>
      <c r="D37" s="58"/>
      <c r="E37" s="58"/>
      <c r="F37" s="58"/>
      <c r="G37" s="65"/>
      <c r="H37" s="58"/>
      <c r="I37" s="58"/>
      <c r="J37" s="58"/>
      <c r="K37" s="127"/>
      <c r="L37" s="165"/>
    </row>
    <row r="38" spans="2:12" ht="15.6">
      <c r="B38" s="129"/>
      <c r="C38" s="58"/>
      <c r="D38" s="58"/>
      <c r="E38" s="58"/>
      <c r="F38" s="58"/>
      <c r="G38" s="65"/>
      <c r="H38" s="58"/>
      <c r="I38" s="58"/>
      <c r="J38" s="58"/>
      <c r="K38" s="127"/>
      <c r="L38" s="165"/>
    </row>
    <row r="39" spans="2:12" ht="15.6">
      <c r="B39" s="129"/>
      <c r="C39" s="58"/>
      <c r="D39" s="58"/>
      <c r="E39" s="58"/>
      <c r="F39" s="58"/>
      <c r="G39" s="65"/>
      <c r="H39" s="58"/>
      <c r="I39" s="58"/>
      <c r="J39" s="58"/>
      <c r="K39" s="127"/>
      <c r="L39" s="165"/>
    </row>
    <row r="40" spans="2:12" ht="15.6">
      <c r="B40" s="129"/>
      <c r="C40" s="58"/>
      <c r="D40" s="58"/>
      <c r="E40" s="58"/>
      <c r="F40" s="58"/>
      <c r="G40" s="65"/>
      <c r="H40" s="58"/>
      <c r="I40" s="58"/>
      <c r="J40" s="58"/>
      <c r="K40" s="127"/>
      <c r="L40" s="165"/>
    </row>
    <row r="41" spans="2:12" ht="15.6">
      <c r="B41" s="129"/>
      <c r="C41" s="58"/>
      <c r="D41" s="58"/>
      <c r="E41" s="58"/>
      <c r="F41" s="58"/>
      <c r="G41" s="65"/>
      <c r="H41" s="58"/>
      <c r="I41" s="58"/>
      <c r="J41" s="58"/>
      <c r="K41" s="127"/>
      <c r="L41" s="165"/>
    </row>
    <row r="42" spans="2:12" ht="15.6">
      <c r="B42" s="129"/>
      <c r="C42" s="58"/>
      <c r="D42" s="58"/>
      <c r="E42" s="58"/>
      <c r="F42" s="58"/>
      <c r="G42" s="65"/>
      <c r="H42" s="58"/>
      <c r="I42" s="58"/>
      <c r="J42" s="58"/>
      <c r="K42" s="127"/>
      <c r="L42" s="165"/>
    </row>
    <row r="43" spans="2:12" ht="15.6">
      <c r="B43" s="129"/>
      <c r="C43" s="58"/>
      <c r="D43" s="58"/>
      <c r="E43" s="58"/>
      <c r="F43" s="58"/>
      <c r="G43" s="65"/>
      <c r="H43" s="58"/>
      <c r="I43" s="58"/>
      <c r="J43" s="58"/>
      <c r="K43" s="127"/>
      <c r="L43" s="165"/>
    </row>
    <row r="44" spans="2:12" ht="15.6">
      <c r="B44" s="129"/>
      <c r="C44" s="58"/>
      <c r="D44" s="58"/>
      <c r="E44" s="58"/>
      <c r="F44" s="58"/>
      <c r="G44" s="65"/>
      <c r="H44" s="58"/>
      <c r="I44" s="58"/>
      <c r="J44" s="58"/>
      <c r="K44" s="127"/>
      <c r="L44" s="165"/>
    </row>
    <row r="45" spans="2:12" ht="15.6">
      <c r="B45" s="129"/>
      <c r="C45" s="58"/>
      <c r="D45" s="58"/>
      <c r="E45" s="58"/>
      <c r="F45" s="58"/>
      <c r="G45" s="65"/>
      <c r="H45" s="58"/>
      <c r="I45" s="58"/>
      <c r="J45" s="58"/>
      <c r="K45" s="127"/>
      <c r="L45" s="165"/>
    </row>
    <row r="46" spans="2:12" ht="15.6">
      <c r="B46" s="129"/>
      <c r="C46" s="58"/>
      <c r="D46" s="58"/>
      <c r="E46" s="58"/>
      <c r="F46" s="58"/>
      <c r="G46" s="65"/>
      <c r="H46" s="58"/>
      <c r="I46" s="58"/>
      <c r="J46" s="58"/>
      <c r="K46" s="127"/>
      <c r="L46" s="165"/>
    </row>
    <row r="47" spans="2:12" ht="15.6">
      <c r="B47" s="129"/>
      <c r="C47" s="58"/>
      <c r="D47" s="58"/>
      <c r="E47" s="58"/>
      <c r="F47" s="58"/>
      <c r="G47" s="65"/>
      <c r="H47" s="58"/>
      <c r="I47" s="58"/>
      <c r="J47" s="58"/>
      <c r="K47" s="127"/>
      <c r="L47" s="165"/>
    </row>
    <row r="48" spans="2:12" ht="15.6">
      <c r="B48" s="134"/>
      <c r="C48" s="58"/>
      <c r="D48" s="67"/>
      <c r="E48" s="67"/>
      <c r="F48" s="67"/>
      <c r="G48" s="75"/>
      <c r="H48" s="67"/>
      <c r="I48" s="67"/>
      <c r="J48" s="67"/>
      <c r="K48" s="131"/>
      <c r="L48" s="165"/>
    </row>
    <row r="49" spans="2:12" ht="15.6">
      <c r="B49" s="129"/>
      <c r="C49" s="58"/>
      <c r="D49" s="58"/>
      <c r="E49" s="58"/>
      <c r="F49" s="58"/>
      <c r="G49" s="65"/>
      <c r="H49" s="58"/>
      <c r="I49" s="58"/>
      <c r="J49" s="58"/>
      <c r="K49" s="127"/>
      <c r="L49" s="165"/>
    </row>
    <row r="50" spans="2:12" ht="15.6">
      <c r="B50" s="129"/>
      <c r="C50" s="58"/>
      <c r="D50" s="58"/>
      <c r="E50" s="58"/>
      <c r="F50" s="58"/>
      <c r="G50" s="65"/>
      <c r="H50" s="58"/>
      <c r="I50" s="58"/>
      <c r="J50" s="58"/>
      <c r="K50" s="127"/>
      <c r="L50" s="165"/>
    </row>
    <row r="51" spans="2:12" ht="15.6">
      <c r="B51" s="129"/>
      <c r="C51" s="58"/>
      <c r="D51" s="58"/>
      <c r="E51" s="58"/>
      <c r="F51" s="58"/>
      <c r="G51" s="65"/>
      <c r="H51" s="58"/>
      <c r="I51" s="58"/>
      <c r="J51" s="58"/>
      <c r="K51" s="127"/>
      <c r="L51" s="165"/>
    </row>
    <row r="52" spans="2:12" ht="16.2">
      <c r="B52" s="123" t="s">
        <v>121</v>
      </c>
      <c r="C52" s="80"/>
      <c r="D52" s="45" t="s">
        <v>35</v>
      </c>
      <c r="E52" s="53" t="s">
        <v>5</v>
      </c>
      <c r="F52" s="54" t="s">
        <v>36</v>
      </c>
      <c r="G52" s="61"/>
      <c r="H52" s="45" t="s">
        <v>35</v>
      </c>
      <c r="I52" s="53" t="s">
        <v>5</v>
      </c>
      <c r="J52" s="54" t="s">
        <v>36</v>
      </c>
      <c r="K52" s="127"/>
      <c r="L52" s="165"/>
    </row>
    <row r="53" spans="2:12" ht="15.6">
      <c r="B53" s="135" t="s">
        <v>122</v>
      </c>
      <c r="C53" s="136"/>
      <c r="D53" s="137">
        <v>1</v>
      </c>
      <c r="E53" s="138">
        <v>1500</v>
      </c>
      <c r="F53" s="138">
        <v>320</v>
      </c>
      <c r="G53" s="139"/>
      <c r="H53" s="137">
        <v>2</v>
      </c>
      <c r="I53" s="138">
        <v>-500</v>
      </c>
      <c r="J53" s="138">
        <v>50</v>
      </c>
      <c r="K53" s="140"/>
      <c r="L53" s="164"/>
    </row>
    <row r="54" spans="2:12" ht="15.6">
      <c r="G54" s="24"/>
      <c r="L54" s="157"/>
    </row>
    <row r="55" spans="2:12">
      <c r="G55" s="33"/>
    </row>
    <row r="56" spans="2:12">
      <c r="G56" s="33"/>
    </row>
    <row r="57" spans="2:12">
      <c r="G57" s="33"/>
    </row>
    <row r="58" spans="2:12">
      <c r="G58" s="33"/>
    </row>
  </sheetData>
  <sheetProtection password="E6A6" sheet="1" selectLockedCells="1"/>
  <mergeCells count="1">
    <mergeCell ref="C23:I23"/>
  </mergeCells>
  <phoneticPr fontId="0" type="noConversion"/>
  <conditionalFormatting sqref="E48">
    <cfRule type="cellIs" dxfId="23" priority="51" stopIfTrue="1" operator="equal">
      <formula>0</formula>
    </cfRule>
  </conditionalFormatting>
  <conditionalFormatting sqref="L6:L7 L15">
    <cfRule type="cellIs" dxfId="22" priority="50" stopIfTrue="1" operator="equal">
      <formula>""</formula>
    </cfRule>
  </conditionalFormatting>
  <conditionalFormatting sqref="L20">
    <cfRule type="cellIs" dxfId="21" priority="45" stopIfTrue="1" operator="equal">
      <formula>""</formula>
    </cfRule>
  </conditionalFormatting>
  <conditionalFormatting sqref="L22">
    <cfRule type="cellIs" dxfId="20" priority="24" stopIfTrue="1" operator="equal">
      <formula>""</formula>
    </cfRule>
  </conditionalFormatting>
  <conditionalFormatting sqref="L8">
    <cfRule type="cellIs" dxfId="19" priority="14" stopIfTrue="1" operator="equal">
      <formula>""</formula>
    </cfRule>
  </conditionalFormatting>
  <conditionalFormatting sqref="L34">
    <cfRule type="cellIs" dxfId="18" priority="15" stopIfTrue="1" operator="equal">
      <formula>""</formula>
    </cfRule>
  </conditionalFormatting>
  <conditionalFormatting sqref="L18">
    <cfRule type="cellIs" dxfId="17" priority="25" stopIfTrue="1" operator="equal">
      <formula>""</formula>
    </cfRule>
  </conditionalFormatting>
  <conditionalFormatting sqref="L9">
    <cfRule type="cellIs" dxfId="16" priority="13" stopIfTrue="1" operator="equal">
      <formula>""</formula>
    </cfRule>
  </conditionalFormatting>
  <conditionalFormatting sqref="L11">
    <cfRule type="cellIs" dxfId="15" priority="11" stopIfTrue="1" operator="equal">
      <formula>""</formula>
    </cfRule>
  </conditionalFormatting>
  <conditionalFormatting sqref="L12">
    <cfRule type="cellIs" dxfId="14" priority="10" stopIfTrue="1" operator="equal">
      <formula>""</formula>
    </cfRule>
  </conditionalFormatting>
  <conditionalFormatting sqref="L16">
    <cfRule type="cellIs" dxfId="13" priority="29" stopIfTrue="1" operator="equal">
      <formula>""</formula>
    </cfRule>
  </conditionalFormatting>
  <conditionalFormatting sqref="L17">
    <cfRule type="cellIs" dxfId="12" priority="27" stopIfTrue="1" operator="equal">
      <formula>""</formula>
    </cfRule>
  </conditionalFormatting>
  <conditionalFormatting sqref="L21">
    <cfRule type="cellIs" dxfId="11" priority="23" stopIfTrue="1" operator="equal">
      <formula>""</formula>
    </cfRule>
  </conditionalFormatting>
  <conditionalFormatting sqref="L24">
    <cfRule type="cellIs" dxfId="10" priority="22" stopIfTrue="1" operator="equal">
      <formula>""</formula>
    </cfRule>
  </conditionalFormatting>
  <conditionalFormatting sqref="L33">
    <cfRule type="cellIs" dxfId="9" priority="16" stopIfTrue="1" operator="equal">
      <formula>""</formula>
    </cfRule>
  </conditionalFormatting>
  <conditionalFormatting sqref="L30:L31">
    <cfRule type="cellIs" dxfId="8" priority="18" stopIfTrue="1" operator="equal">
      <formula>""</formula>
    </cfRule>
  </conditionalFormatting>
  <conditionalFormatting sqref="L32">
    <cfRule type="cellIs" dxfId="7" priority="17" stopIfTrue="1" operator="equal">
      <formula>""</formula>
    </cfRule>
  </conditionalFormatting>
  <conditionalFormatting sqref="L10">
    <cfRule type="cellIs" dxfId="6" priority="12" stopIfTrue="1" operator="equal">
      <formula>""</formula>
    </cfRule>
  </conditionalFormatting>
  <conditionalFormatting sqref="L13">
    <cfRule type="cellIs" dxfId="5" priority="9" stopIfTrue="1" operator="equal">
      <formula>""</formula>
    </cfRule>
  </conditionalFormatting>
  <conditionalFormatting sqref="L25">
    <cfRule type="cellIs" dxfId="4" priority="7" stopIfTrue="1" operator="equal">
      <formula>""</formula>
    </cfRule>
  </conditionalFormatting>
  <conditionalFormatting sqref="L26">
    <cfRule type="cellIs" dxfId="3" priority="3" stopIfTrue="1" operator="equal">
      <formula>""</formula>
    </cfRule>
  </conditionalFormatting>
  <conditionalFormatting sqref="L27">
    <cfRule type="cellIs" dxfId="2" priority="2" stopIfTrue="1" operator="equal">
      <formula>""</formula>
    </cfRule>
  </conditionalFormatting>
  <conditionalFormatting sqref="L29">
    <cfRule type="cellIs" dxfId="1" priority="1" stopIfTrue="1" operator="equal">
      <formula>""</formula>
    </cfRule>
  </conditionalFormatting>
  <printOptions horizontalCentered="1"/>
  <pageMargins left="0.62992125984251968" right="0.39370078740157483" top="0.47244094488188981" bottom="0.47244094488188981" header="0" footer="0"/>
  <pageSetup paperSize="9" scale="84"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Pr_main">
                <anchor moveWithCells="1">
                  <from>
                    <xdr:col>8</xdr:col>
                    <xdr:colOff>396240</xdr:colOff>
                    <xdr:row>17</xdr:row>
                    <xdr:rowOff>106680</xdr:rowOff>
                  </from>
                  <to>
                    <xdr:col>10</xdr:col>
                    <xdr:colOff>152400</xdr:colOff>
                    <xdr:row>19</xdr:row>
                    <xdr:rowOff>22860</xdr:rowOff>
                  </to>
                </anchor>
              </controlPr>
            </control>
          </mc:Choice>
        </mc:AlternateContent>
        <mc:AlternateContent xmlns:mc="http://schemas.openxmlformats.org/markup-compatibility/2006">
          <mc:Choice Requires="x14">
            <control shapeId="1050" r:id="rId5" name="Drop Down 26">
              <controlPr locked="0" defaultSize="0" autoLine="0" autoPict="0">
                <anchor moveWithCells="1">
                  <from>
                    <xdr:col>4</xdr:col>
                    <xdr:colOff>281940</xdr:colOff>
                    <xdr:row>7</xdr:row>
                    <xdr:rowOff>22860</xdr:rowOff>
                  </from>
                  <to>
                    <xdr:col>6</xdr:col>
                    <xdr:colOff>342900</xdr:colOff>
                    <xdr:row>8</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Q44"/>
  <sheetViews>
    <sheetView showGridLines="0" zoomScaleNormal="100" workbookViewId="0">
      <selection activeCell="J11" sqref="J11"/>
    </sheetView>
  </sheetViews>
  <sheetFormatPr defaultRowHeight="15.6"/>
  <cols>
    <col min="1" max="1" width="3.6640625" customWidth="1"/>
    <col min="2" max="2" width="21.6640625" style="100" customWidth="1"/>
    <col min="3" max="3" width="8.5546875" style="100" customWidth="1"/>
    <col min="4" max="4" width="19.44140625" style="101" customWidth="1"/>
    <col min="5" max="5" width="17.33203125" style="97" customWidth="1"/>
    <col min="6" max="6" width="7.88671875" style="2" customWidth="1"/>
    <col min="7" max="7" width="8.88671875" style="2" customWidth="1"/>
    <col min="8" max="8" width="15.6640625" style="2" customWidth="1"/>
    <col min="9" max="32" width="15.6640625" customWidth="1"/>
    <col min="33" max="33" width="15.6640625" style="1" customWidth="1"/>
    <col min="34" max="49" width="15.6640625" customWidth="1"/>
    <col min="50" max="50" width="15.6640625" style="104" customWidth="1"/>
    <col min="51" max="54" width="15.6640625" customWidth="1"/>
    <col min="55" max="55" width="15.6640625" style="103" customWidth="1"/>
    <col min="56" max="60" width="15.6640625" customWidth="1"/>
    <col min="61" max="61" width="7.88671875" customWidth="1"/>
    <col min="62" max="62" width="11.88671875" customWidth="1"/>
    <col min="63" max="63" width="12.109375" customWidth="1"/>
    <col min="64" max="64" width="12.6640625" customWidth="1"/>
    <col min="65" max="65" width="12.33203125" customWidth="1"/>
    <col min="66" max="66" width="11.88671875" customWidth="1"/>
    <col min="69" max="69" width="11.44140625" bestFit="1" customWidth="1"/>
  </cols>
  <sheetData>
    <row r="1" spans="1:69" ht="13.8" thickBot="1">
      <c r="A1" s="171"/>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row>
    <row r="2" spans="1:69" ht="23.4" thickTop="1">
      <c r="A2" s="171"/>
      <c r="B2" s="172" t="str">
        <f>Kalkulator!B2</f>
        <v>Projekt</v>
      </c>
      <c r="C2" s="173"/>
      <c r="D2" s="174" t="str">
        <f>Kalkulator!C2</f>
        <v>Projekt rewizja 1.2</v>
      </c>
      <c r="E2" s="175"/>
      <c r="F2" s="176"/>
      <c r="G2" s="177"/>
      <c r="H2" s="178"/>
      <c r="I2" s="179"/>
      <c r="J2" s="180"/>
      <c r="K2" s="354"/>
      <c r="L2" s="355"/>
      <c r="M2" s="355"/>
      <c r="N2" s="355"/>
      <c r="O2" s="179"/>
      <c r="P2" s="179"/>
      <c r="Q2" s="179"/>
      <c r="R2" s="181"/>
      <c r="S2" s="181"/>
      <c r="T2" s="181"/>
      <c r="U2" s="181"/>
      <c r="V2" s="181"/>
      <c r="W2" s="181"/>
      <c r="X2" s="181"/>
      <c r="Y2" s="181"/>
      <c r="Z2" s="181"/>
      <c r="AA2" s="181"/>
      <c r="AB2" s="181"/>
      <c r="AC2" s="181"/>
      <c r="AD2" s="181"/>
      <c r="AE2" s="181"/>
      <c r="AF2" s="181"/>
      <c r="AG2" s="182"/>
      <c r="AH2" s="183" t="str">
        <f>B2</f>
        <v>Projekt</v>
      </c>
      <c r="AI2" s="183" t="str">
        <f>D2</f>
        <v>Projekt rewizja 1.2</v>
      </c>
      <c r="AJ2" s="181"/>
      <c r="AK2" s="181"/>
      <c r="AL2" s="181"/>
      <c r="AM2" s="181"/>
      <c r="AN2" s="181"/>
      <c r="AO2" s="181"/>
      <c r="AP2" s="181"/>
      <c r="AQ2" s="181"/>
      <c r="AR2" s="181"/>
      <c r="AS2" s="181"/>
      <c r="AT2" s="181"/>
      <c r="AU2" s="181"/>
      <c r="AV2" s="181"/>
      <c r="AW2" s="181"/>
      <c r="AX2" s="184"/>
      <c r="AY2" s="181"/>
      <c r="AZ2" s="181"/>
      <c r="BA2" s="181"/>
      <c r="BB2" s="181"/>
      <c r="BC2" s="185"/>
      <c r="BD2" s="181"/>
      <c r="BE2" s="181"/>
      <c r="BF2" s="181"/>
      <c r="BG2" s="186" t="s">
        <v>197</v>
      </c>
      <c r="BH2" s="181"/>
      <c r="BI2" s="187"/>
      <c r="BJ2" s="171"/>
      <c r="BK2" s="171"/>
    </row>
    <row r="3" spans="1:69" ht="22.8">
      <c r="A3" s="171"/>
      <c r="B3" s="188" t="str">
        <f>Kalkulator!B4</f>
        <v>Lokalizacja</v>
      </c>
      <c r="C3" s="189"/>
      <c r="D3" s="190" t="str">
        <f>Kalkulator!C4</f>
        <v>Kielce/Warszawa</v>
      </c>
      <c r="E3" s="191"/>
      <c r="F3" s="192"/>
      <c r="G3" s="193"/>
      <c r="H3" s="194"/>
      <c r="I3" s="195"/>
      <c r="J3" s="171"/>
      <c r="K3" s="171"/>
      <c r="L3" s="171"/>
      <c r="M3" s="171"/>
      <c r="N3" s="367"/>
      <c r="O3" s="368"/>
      <c r="P3" s="368"/>
      <c r="Q3" s="368"/>
      <c r="R3" s="195"/>
      <c r="S3" s="195"/>
      <c r="T3" s="195"/>
      <c r="U3" s="195"/>
      <c r="V3" s="195"/>
      <c r="W3" s="195"/>
      <c r="X3" s="195"/>
      <c r="Y3" s="195"/>
      <c r="Z3" s="195"/>
      <c r="AA3" s="196"/>
      <c r="AB3" s="196"/>
      <c r="AC3" s="197" t="str">
        <f>Kalkulator!I3&amp;"  "&amp;Kalkulator!I4&amp;"    "&amp;Kalkulator!K5&amp;"  "&amp;Kalkulator!K6</f>
        <v>Opracował  LCH    Zlecenie  ChP-1</v>
      </c>
      <c r="AD3" s="195"/>
      <c r="AE3" s="195"/>
      <c r="AF3" s="195"/>
      <c r="AG3" s="198"/>
      <c r="AH3" s="199" t="str">
        <f>B3</f>
        <v>Lokalizacja</v>
      </c>
      <c r="AI3" s="199" t="str">
        <f>D3</f>
        <v>Kielce/Warszawa</v>
      </c>
      <c r="AJ3" s="195"/>
      <c r="AK3" s="195"/>
      <c r="AL3" s="195"/>
      <c r="AM3" s="195"/>
      <c r="AN3" s="195"/>
      <c r="AO3" s="195"/>
      <c r="AP3" s="195"/>
      <c r="AQ3" s="195"/>
      <c r="AR3" s="195"/>
      <c r="AS3" s="195"/>
      <c r="AT3" s="195"/>
      <c r="AU3" s="195"/>
      <c r="AV3" s="195"/>
      <c r="AW3" s="195"/>
      <c r="AX3" s="200"/>
      <c r="AY3" s="195"/>
      <c r="AZ3" s="195"/>
      <c r="BA3" s="195"/>
      <c r="BB3" s="195"/>
      <c r="BC3" s="201"/>
      <c r="BD3" s="195"/>
      <c r="BE3" s="195"/>
      <c r="BF3" s="202" t="str">
        <f>AC3</f>
        <v>Opracował  LCH    Zlecenie  ChP-1</v>
      </c>
      <c r="BG3" s="195"/>
      <c r="BH3" s="195"/>
      <c r="BI3" s="203"/>
      <c r="BJ3" s="171"/>
      <c r="BK3" s="171"/>
    </row>
    <row r="4" spans="1:69" ht="23.4" thickBot="1">
      <c r="A4" s="171"/>
      <c r="B4" s="204"/>
      <c r="C4" s="205"/>
      <c r="D4" s="206" t="str">
        <f>Kalkulator!B5</f>
        <v xml:space="preserve">  ZGINANIE Z SIŁĄ OSIOWĄ  wg PN-EN 1992 nieliniowy model betonu i stali</v>
      </c>
      <c r="E4" s="207"/>
      <c r="F4" s="208"/>
      <c r="G4" s="209"/>
      <c r="H4" s="210"/>
      <c r="I4" s="211"/>
      <c r="J4" s="212"/>
      <c r="K4" s="349" t="s">
        <v>263</v>
      </c>
      <c r="L4" s="362" t="s">
        <v>40</v>
      </c>
      <c r="M4" s="363"/>
      <c r="N4" s="363"/>
      <c r="O4" s="363"/>
      <c r="P4" s="348"/>
      <c r="Q4" s="348"/>
      <c r="R4" s="212"/>
      <c r="S4" s="212"/>
      <c r="T4" s="212"/>
      <c r="U4" s="212"/>
      <c r="V4" s="212"/>
      <c r="W4" s="212"/>
      <c r="X4" s="212"/>
      <c r="Y4" s="212"/>
      <c r="Z4" s="212"/>
      <c r="AA4" s="211"/>
      <c r="AB4" s="213" t="s">
        <v>18</v>
      </c>
      <c r="AC4" s="214">
        <f ca="1">Kalkulator!J4</f>
        <v>43192</v>
      </c>
      <c r="AD4" s="212"/>
      <c r="AE4" s="212"/>
      <c r="AF4" s="212"/>
      <c r="AG4" s="215"/>
      <c r="AH4" s="216"/>
      <c r="AI4" s="216" t="str">
        <f>D4</f>
        <v xml:space="preserve">  ZGINANIE Z SIŁĄ OSIOWĄ  wg PN-EN 1992 nieliniowy model betonu i stali</v>
      </c>
      <c r="AJ4" s="212"/>
      <c r="AK4" s="212"/>
      <c r="AL4" s="212"/>
      <c r="AM4" s="212"/>
      <c r="AN4" s="212"/>
      <c r="AO4" s="212"/>
      <c r="AP4" s="212"/>
      <c r="AQ4" s="217"/>
      <c r="AR4" s="212"/>
      <c r="AS4" s="212"/>
      <c r="AT4" s="212"/>
      <c r="AU4" s="212"/>
      <c r="AV4" s="212"/>
      <c r="AW4" s="212"/>
      <c r="AX4" s="218"/>
      <c r="AY4" s="212"/>
      <c r="AZ4" s="212"/>
      <c r="BA4" s="212"/>
      <c r="BB4" s="212"/>
      <c r="BC4" s="219"/>
      <c r="BD4" s="212"/>
      <c r="BE4" s="220" t="str">
        <f>AB4</f>
        <v>Data</v>
      </c>
      <c r="BF4" s="221">
        <f ca="1">AC4</f>
        <v>43192</v>
      </c>
      <c r="BG4" s="212"/>
      <c r="BH4" s="211"/>
      <c r="BI4" s="222"/>
      <c r="BJ4" s="171"/>
      <c r="BK4" s="171"/>
    </row>
    <row r="5" spans="1:69" ht="20.100000000000001" customHeight="1" thickTop="1">
      <c r="A5" s="171"/>
      <c r="B5" s="369"/>
      <c r="C5" s="369"/>
      <c r="D5" s="370"/>
      <c r="E5" s="223"/>
      <c r="F5" s="171"/>
      <c r="G5" s="224"/>
      <c r="H5" s="224"/>
      <c r="I5" s="171"/>
      <c r="J5" s="171"/>
      <c r="K5" s="171"/>
      <c r="L5" s="171"/>
      <c r="M5" s="171"/>
      <c r="N5" s="171"/>
      <c r="O5" s="171"/>
      <c r="P5" s="171"/>
      <c r="Q5" s="171"/>
      <c r="R5" s="171"/>
      <c r="S5" s="171"/>
      <c r="T5" s="171"/>
      <c r="U5" s="171"/>
      <c r="V5" s="171"/>
      <c r="W5" s="171"/>
      <c r="X5" s="171"/>
      <c r="Y5" s="171"/>
      <c r="Z5" s="171"/>
      <c r="AA5" s="225"/>
      <c r="AB5" s="171"/>
      <c r="AC5" s="171"/>
      <c r="AD5" s="171"/>
      <c r="AE5" s="171"/>
      <c r="AF5" s="171"/>
      <c r="AG5" s="171"/>
      <c r="AH5" s="171"/>
      <c r="AI5" s="171"/>
      <c r="AJ5" s="171"/>
      <c r="AK5" s="171"/>
      <c r="AL5" s="226"/>
      <c r="AM5" s="171"/>
      <c r="AN5" s="171"/>
      <c r="AO5" s="171"/>
      <c r="AP5" s="171"/>
      <c r="AQ5" s="171"/>
      <c r="AR5" s="171"/>
      <c r="AS5" s="171"/>
      <c r="AT5" s="171"/>
      <c r="AU5" s="171"/>
      <c r="AV5" s="171"/>
      <c r="AW5" s="171"/>
      <c r="AX5" s="227"/>
      <c r="AY5" s="171"/>
      <c r="AZ5" s="171"/>
      <c r="BA5" s="171"/>
      <c r="BB5" s="171"/>
      <c r="BC5" s="228"/>
      <c r="BD5" s="171"/>
      <c r="BE5" s="171"/>
      <c r="BF5" s="171"/>
      <c r="BG5" s="171"/>
      <c r="BH5" s="171"/>
      <c r="BI5" s="171"/>
      <c r="BJ5" s="236"/>
      <c r="BK5" s="226"/>
      <c r="BL5" s="3"/>
    </row>
    <row r="6" spans="1:69" ht="20.100000000000001" customHeight="1">
      <c r="A6" s="171"/>
      <c r="B6" s="229" t="s">
        <v>91</v>
      </c>
      <c r="C6" s="230" t="s">
        <v>79</v>
      </c>
      <c r="D6" s="231" t="s">
        <v>83</v>
      </c>
      <c r="E6" s="232">
        <f>f_ck/g_c</f>
        <v>25</v>
      </c>
      <c r="F6" s="233" t="s">
        <v>0</v>
      </c>
      <c r="G6" s="224"/>
      <c r="H6" s="234"/>
      <c r="I6" s="235" t="s">
        <v>58</v>
      </c>
      <c r="J6" s="236" t="s">
        <v>113</v>
      </c>
      <c r="K6" s="226">
        <f>h/2</f>
        <v>225</v>
      </c>
      <c r="L6" s="235" t="s">
        <v>59</v>
      </c>
      <c r="M6" s="171"/>
      <c r="N6" s="171"/>
      <c r="O6" s="171" t="s">
        <v>41</v>
      </c>
      <c r="P6" s="171"/>
      <c r="Q6" s="171"/>
      <c r="R6" s="237" t="s">
        <v>137</v>
      </c>
      <c r="S6" s="171"/>
      <c r="T6" s="171"/>
      <c r="U6" s="171"/>
      <c r="V6" s="171"/>
      <c r="W6" s="171"/>
      <c r="X6" s="171"/>
      <c r="Y6" s="238" t="s">
        <v>208</v>
      </c>
      <c r="Z6" s="171"/>
      <c r="AA6" s="237" t="s">
        <v>209</v>
      </c>
      <c r="AB6" s="232">
        <f>0.3*f_ck ^(2/3)</f>
        <v>3.2099624416952368</v>
      </c>
      <c r="AC6" s="233" t="s">
        <v>0</v>
      </c>
      <c r="AD6" s="171"/>
      <c r="AE6" s="171" t="s">
        <v>211</v>
      </c>
      <c r="AF6" s="171"/>
      <c r="AG6" s="171" t="s">
        <v>212</v>
      </c>
      <c r="AH6" s="171"/>
      <c r="AI6" s="171"/>
      <c r="AJ6" s="171"/>
      <c r="AK6" s="171"/>
      <c r="AL6" s="171"/>
      <c r="AM6" s="229" t="s">
        <v>232</v>
      </c>
      <c r="AN6" s="171"/>
      <c r="AO6" s="171"/>
      <c r="AP6" s="229" t="s">
        <v>247</v>
      </c>
      <c r="AQ6" s="229" t="s">
        <v>248</v>
      </c>
      <c r="AR6" s="229" t="s">
        <v>249</v>
      </c>
      <c r="AS6" s="171"/>
      <c r="AT6" s="237" t="s">
        <v>254</v>
      </c>
      <c r="AU6" s="171"/>
      <c r="AV6" s="171"/>
      <c r="AW6" s="171" t="s">
        <v>42</v>
      </c>
      <c r="AX6" s="171"/>
      <c r="AY6" s="171"/>
      <c r="AZ6" s="171"/>
      <c r="BA6" s="171"/>
      <c r="BB6" s="171"/>
      <c r="BC6" s="171"/>
      <c r="BD6" s="171"/>
      <c r="BE6" s="171"/>
      <c r="BF6" s="171"/>
      <c r="BG6" s="171"/>
      <c r="BH6" s="171"/>
      <c r="BI6" s="171"/>
      <c r="BJ6" s="171"/>
      <c r="BK6" s="226"/>
      <c r="BL6" s="3"/>
    </row>
    <row r="7" spans="1:69" ht="20.100000000000001" customHeight="1">
      <c r="A7" s="171"/>
      <c r="B7" s="229" t="s">
        <v>92</v>
      </c>
      <c r="C7" s="230" t="s">
        <v>80</v>
      </c>
      <c r="D7" s="231" t="s">
        <v>84</v>
      </c>
      <c r="E7" s="232">
        <f>f_yk/g_s</f>
        <v>434.78260869565219</v>
      </c>
      <c r="F7" s="233" t="s">
        <v>0</v>
      </c>
      <c r="G7" s="224"/>
      <c r="H7" s="224"/>
      <c r="I7" s="236" t="s">
        <v>64</v>
      </c>
      <c r="J7" s="239">
        <f>A_sc</f>
        <v>678.58401317539528</v>
      </c>
      <c r="K7" s="233" t="s">
        <v>6</v>
      </c>
      <c r="L7" s="236" t="s">
        <v>65</v>
      </c>
      <c r="M7" s="239">
        <f>A_st</f>
        <v>226.1946710584651</v>
      </c>
      <c r="N7" s="233" t="s">
        <v>6</v>
      </c>
      <c r="O7" s="171"/>
      <c r="P7" s="171"/>
      <c r="Q7" s="171"/>
      <c r="R7" s="171"/>
      <c r="S7" s="171"/>
      <c r="T7" s="171"/>
      <c r="U7" s="171"/>
      <c r="V7" s="171"/>
      <c r="W7" s="171"/>
      <c r="X7" s="171"/>
      <c r="Y7" s="237" t="s">
        <v>236</v>
      </c>
      <c r="Z7" s="171"/>
      <c r="AA7" s="240" t="s">
        <v>213</v>
      </c>
      <c r="AB7" s="241">
        <f>IF(h&gt;1000,1000,h)</f>
        <v>450</v>
      </c>
      <c r="AC7" s="233" t="s">
        <v>2</v>
      </c>
      <c r="AD7" s="171"/>
      <c r="AE7" s="237" t="s">
        <v>256</v>
      </c>
      <c r="AF7" s="171"/>
      <c r="AG7" s="171" t="s">
        <v>210</v>
      </c>
      <c r="AH7" s="171"/>
      <c r="AI7" s="239">
        <f xml:space="preserve"> MAX(0.26*f_ctm/f_yk,0.0013)*b* d_tl</f>
        <v>345.52035722407527</v>
      </c>
      <c r="AJ7" s="233" t="s">
        <v>6</v>
      </c>
      <c r="AK7" s="237" t="s">
        <v>244</v>
      </c>
      <c r="AL7" s="171"/>
      <c r="AM7" s="237" t="s">
        <v>233</v>
      </c>
      <c r="AN7" s="239">
        <f>0.04*b*h</f>
        <v>9000</v>
      </c>
      <c r="AO7" s="233" t="s">
        <v>6</v>
      </c>
      <c r="AP7" s="242" t="s">
        <v>250</v>
      </c>
      <c r="AQ7" s="241">
        <f>IF(h&gt;100,MIN(250,1.2*h),120)</f>
        <v>250</v>
      </c>
      <c r="AR7" s="241">
        <v>250</v>
      </c>
      <c r="AS7" s="237" t="s">
        <v>2</v>
      </c>
      <c r="AT7" s="242" t="s">
        <v>255</v>
      </c>
      <c r="AU7" s="241">
        <f>IF(N_Ed1&lt;0,8,12)</f>
        <v>12</v>
      </c>
      <c r="AV7" s="241">
        <f>IF(N_Ed2&lt;0,8,12)</f>
        <v>8</v>
      </c>
      <c r="AW7" s="171"/>
      <c r="AX7" s="171"/>
      <c r="AY7" s="171"/>
      <c r="AZ7" s="171"/>
      <c r="BA7" s="171"/>
      <c r="BB7" s="171"/>
      <c r="BC7" s="171"/>
      <c r="BD7" s="171"/>
      <c r="BE7" s="171"/>
      <c r="BF7" s="171"/>
      <c r="BG7" s="171"/>
      <c r="BH7" s="171"/>
      <c r="BI7" s="171"/>
      <c r="BJ7" s="171"/>
      <c r="BK7" s="171"/>
    </row>
    <row r="8" spans="1:69" ht="20.100000000000001" customHeight="1">
      <c r="A8" s="171"/>
      <c r="B8" s="229" t="s">
        <v>193</v>
      </c>
      <c r="C8" s="230" t="s">
        <v>194</v>
      </c>
      <c r="D8" s="243" t="s">
        <v>87</v>
      </c>
      <c r="E8" s="225">
        <v>2E-3</v>
      </c>
      <c r="F8" s="224" t="s">
        <v>72</v>
      </c>
      <c r="G8" s="224"/>
      <c r="H8" s="224"/>
      <c r="I8" s="244" t="s">
        <v>49</v>
      </c>
      <c r="J8" s="226">
        <f>c_u+F_u/2</f>
        <v>36</v>
      </c>
      <c r="K8" s="223" t="s">
        <v>2</v>
      </c>
      <c r="L8" s="244" t="s">
        <v>51</v>
      </c>
      <c r="M8" s="226">
        <f>c_u+F_u/2</f>
        <v>36</v>
      </c>
      <c r="N8" s="223" t="s">
        <v>2</v>
      </c>
      <c r="O8" s="245" t="s">
        <v>114</v>
      </c>
      <c r="P8" s="171"/>
      <c r="Q8" s="246">
        <f>(d_0-d_cu)/(d_tl-h/2)</f>
        <v>1</v>
      </c>
      <c r="R8" s="237" t="s">
        <v>138</v>
      </c>
      <c r="S8" s="171"/>
      <c r="T8" s="237" t="s">
        <v>140</v>
      </c>
      <c r="U8" s="236"/>
      <c r="V8" s="171"/>
      <c r="W8" s="232">
        <f>IF(klasa="A",0.05,IF(klasa="B",0.08,0.15))</f>
        <v>0.05</v>
      </c>
      <c r="X8" s="233" t="s">
        <v>72</v>
      </c>
      <c r="Y8" s="171" t="s">
        <v>214</v>
      </c>
      <c r="Z8" s="171"/>
      <c r="AA8" s="171"/>
      <c r="AB8" s="232">
        <f>1-(h*b)*(0.65-1)/(300^2-800^2)</f>
        <v>0.85681818181818181</v>
      </c>
      <c r="AC8" s="171" t="s">
        <v>72</v>
      </c>
      <c r="AD8" s="171"/>
      <c r="AE8" s="171" t="s">
        <v>217</v>
      </c>
      <c r="AF8" s="171"/>
      <c r="AG8" s="247"/>
      <c r="AH8" s="171"/>
      <c r="AI8" s="171"/>
      <c r="AJ8" s="171"/>
      <c r="AK8" s="171"/>
      <c r="AL8" s="171"/>
      <c r="AM8" s="171"/>
      <c r="AN8" s="171"/>
      <c r="AO8" s="171"/>
      <c r="AP8" s="171"/>
      <c r="AQ8" s="171"/>
      <c r="AR8" s="171"/>
      <c r="AS8" s="171"/>
      <c r="AT8" s="171"/>
      <c r="AU8" s="237" t="s">
        <v>252</v>
      </c>
      <c r="AV8" s="248" t="s">
        <v>253</v>
      </c>
      <c r="AW8" s="171" t="s">
        <v>43</v>
      </c>
      <c r="AX8" s="171"/>
      <c r="AY8" s="171" t="s">
        <v>44</v>
      </c>
      <c r="AZ8" s="236"/>
      <c r="BA8" s="171"/>
      <c r="BB8" s="239">
        <f>(A_sc*d_cu+A_st*d_tl)/(A_sc+A_st)</f>
        <v>130.5</v>
      </c>
      <c r="BC8" s="223" t="s">
        <v>2</v>
      </c>
      <c r="BD8" s="171"/>
      <c r="BE8" s="171"/>
      <c r="BF8" s="171"/>
      <c r="BG8" s="171"/>
      <c r="BH8" s="171"/>
      <c r="BI8" s="171"/>
      <c r="BJ8" s="171"/>
      <c r="BK8" s="171"/>
    </row>
    <row r="9" spans="1:69" ht="20.100000000000001" customHeight="1">
      <c r="A9" s="171"/>
      <c r="B9" s="229" t="s">
        <v>93</v>
      </c>
      <c r="C9" s="230" t="s">
        <v>81</v>
      </c>
      <c r="D9" s="231" t="s">
        <v>85</v>
      </c>
      <c r="E9" s="232">
        <f>f_yd-f_cd</f>
        <v>409.78260869565219</v>
      </c>
      <c r="F9" s="233" t="s">
        <v>0</v>
      </c>
      <c r="G9" s="224"/>
      <c r="H9" s="224"/>
      <c r="I9" s="244" t="s">
        <v>56</v>
      </c>
      <c r="J9" s="226">
        <f>a_cu</f>
        <v>36</v>
      </c>
      <c r="K9" s="223" t="s">
        <v>2</v>
      </c>
      <c r="L9" s="244" t="s">
        <v>52</v>
      </c>
      <c r="M9" s="226">
        <f>h-a_tu</f>
        <v>414</v>
      </c>
      <c r="N9" s="223" t="s">
        <v>2</v>
      </c>
      <c r="O9" s="245" t="s">
        <v>115</v>
      </c>
      <c r="P9" s="171"/>
      <c r="Q9" s="246">
        <f>(d_0-d_cl)/(d_tu-d_0)</f>
        <v>1</v>
      </c>
      <c r="R9" s="237" t="s">
        <v>139</v>
      </c>
      <c r="S9" s="171"/>
      <c r="T9" s="242" t="s">
        <v>143</v>
      </c>
      <c r="U9" s="236"/>
      <c r="V9" s="171"/>
      <c r="W9" s="239">
        <v>20</v>
      </c>
      <c r="X9" s="233"/>
      <c r="Y9" s="171" t="s">
        <v>215</v>
      </c>
      <c r="Z9" s="171"/>
      <c r="AA9" s="171"/>
      <c r="AB9" s="249">
        <f>IF(N_Ed1&gt;0,1.5, 2*AB7/(3*h))</f>
        <v>1.5</v>
      </c>
      <c r="AC9" s="171" t="s">
        <v>72</v>
      </c>
      <c r="AD9" s="171"/>
      <c r="AE9" s="237" t="s">
        <v>257</v>
      </c>
      <c r="AF9" s="171"/>
      <c r="AG9" s="360" t="s">
        <v>242</v>
      </c>
      <c r="AH9" s="361"/>
      <c r="AI9" s="239">
        <f>MAX(MAX(N_Ed1,N_Ed2)*0.1/f_yd, 0.002*b*h)</f>
        <v>450</v>
      </c>
      <c r="AJ9" s="233" t="s">
        <v>6</v>
      </c>
      <c r="AK9" s="237" t="s">
        <v>245</v>
      </c>
      <c r="AL9" s="171"/>
      <c r="AM9" s="229" t="s">
        <v>243</v>
      </c>
      <c r="AN9" s="239">
        <f>0.4*b*h</f>
        <v>90000</v>
      </c>
      <c r="AO9" s="233" t="s">
        <v>6</v>
      </c>
      <c r="AP9" s="242" t="s">
        <v>251</v>
      </c>
      <c r="AQ9" s="241">
        <f>IF(N_Ed1&lt;0,400,300)</f>
        <v>300</v>
      </c>
      <c r="AR9" s="241">
        <f>IF(N_Ed2&lt;0,400,300)</f>
        <v>400</v>
      </c>
      <c r="AS9" s="237" t="s">
        <v>2</v>
      </c>
      <c r="AT9" s="171"/>
      <c r="AU9" s="241">
        <v>12</v>
      </c>
      <c r="AV9" s="171"/>
      <c r="AW9" s="171" t="s">
        <v>45</v>
      </c>
      <c r="AX9" s="171"/>
      <c r="AY9" s="237" t="s">
        <v>129</v>
      </c>
      <c r="AZ9" s="236"/>
      <c r="BA9" s="171"/>
      <c r="BB9" s="239">
        <f>d_tl/(1-f_yd/s_smax)</f>
        <v>1092.6885245901642</v>
      </c>
      <c r="BC9" s="233" t="s">
        <v>2</v>
      </c>
      <c r="BD9" s="171"/>
      <c r="BE9" s="171"/>
      <c r="BF9" s="171"/>
      <c r="BG9" s="171"/>
      <c r="BH9" s="171"/>
      <c r="BI9" s="171"/>
      <c r="BJ9" s="171"/>
      <c r="BK9" s="171"/>
    </row>
    <row r="10" spans="1:69" ht="20.100000000000001" customHeight="1">
      <c r="A10" s="171"/>
      <c r="B10" s="229" t="s">
        <v>126</v>
      </c>
      <c r="C10" s="230" t="s">
        <v>128</v>
      </c>
      <c r="D10" s="250" t="s">
        <v>127</v>
      </c>
      <c r="E10" s="232">
        <f>e_cu2*E_s</f>
        <v>700</v>
      </c>
      <c r="F10" s="233" t="s">
        <v>0</v>
      </c>
      <c r="G10" s="224"/>
      <c r="H10" s="224"/>
      <c r="I10" s="244" t="s">
        <v>50</v>
      </c>
      <c r="J10" s="226">
        <f>c_u+F_l/2</f>
        <v>36</v>
      </c>
      <c r="K10" s="223" t="s">
        <v>2</v>
      </c>
      <c r="L10" s="244" t="s">
        <v>53</v>
      </c>
      <c r="M10" s="226">
        <f>c_l+F_l/2</f>
        <v>36</v>
      </c>
      <c r="N10" s="223" t="s">
        <v>2</v>
      </c>
      <c r="O10" s="245" t="s">
        <v>116</v>
      </c>
      <c r="P10" s="171"/>
      <c r="Q10" s="246">
        <f>(d_0-d_cu)/(d_tl-d_cu)</f>
        <v>0.5</v>
      </c>
      <c r="R10" s="237" t="s">
        <v>141</v>
      </c>
      <c r="S10" s="171"/>
      <c r="T10" s="230" t="s">
        <v>142</v>
      </c>
      <c r="U10" s="237" t="s">
        <v>144</v>
      </c>
      <c r="V10" s="171"/>
      <c r="W10" s="251">
        <f>f_yd/E_s</f>
        <v>2.1739130434782609E-3</v>
      </c>
      <c r="X10" s="233" t="s">
        <v>72</v>
      </c>
      <c r="Y10" s="171" t="s">
        <v>216</v>
      </c>
      <c r="Z10" s="171"/>
      <c r="AA10" s="171"/>
      <c r="AB10" s="249">
        <f>IF(N_Ed2&gt;0,1.5, 2*AB7/(3*h))</f>
        <v>0.66666666666666663</v>
      </c>
      <c r="AC10" s="171" t="s">
        <v>72</v>
      </c>
      <c r="AD10" s="171"/>
      <c r="AE10" s="171" t="s">
        <v>205</v>
      </c>
      <c r="AF10" s="171"/>
      <c r="AG10" s="247"/>
      <c r="AH10" s="171"/>
      <c r="AI10" s="171"/>
      <c r="AJ10" s="171"/>
      <c r="AK10" s="171"/>
      <c r="AL10" s="171"/>
      <c r="AM10" s="360"/>
      <c r="AN10" s="361"/>
      <c r="AO10" s="239"/>
      <c r="AP10" s="233"/>
      <c r="AQ10" s="237" t="s">
        <v>252</v>
      </c>
      <c r="AR10" s="248" t="s">
        <v>253</v>
      </c>
      <c r="AS10" s="171"/>
      <c r="AT10" s="171"/>
      <c r="AU10" s="171"/>
      <c r="AV10" s="171"/>
      <c r="AW10" s="171" t="s">
        <v>46</v>
      </c>
      <c r="AX10" s="171"/>
      <c r="AY10" s="171" t="s">
        <v>47</v>
      </c>
      <c r="AZ10" s="171"/>
      <c r="BA10" s="171"/>
      <c r="BB10" s="232">
        <f>-MIN(f_yd*A_sc/beta4, f_yd*A_st/beta3)/1000</f>
        <v>-196.69101831170877</v>
      </c>
      <c r="BC10" s="223" t="s">
        <v>2</v>
      </c>
      <c r="BD10" s="171"/>
      <c r="BE10" s="171"/>
      <c r="BF10" s="171"/>
      <c r="BG10" s="171"/>
      <c r="BH10" s="171"/>
      <c r="BI10" s="171"/>
      <c r="BJ10" s="171"/>
      <c r="BK10" s="171"/>
    </row>
    <row r="11" spans="1:69" ht="20.100000000000001" customHeight="1">
      <c r="A11" s="171"/>
      <c r="B11" s="229" t="s">
        <v>94</v>
      </c>
      <c r="C11" s="230" t="s">
        <v>88</v>
      </c>
      <c r="D11" s="243" t="s">
        <v>87</v>
      </c>
      <c r="E11" s="241">
        <v>200000</v>
      </c>
      <c r="F11" s="233" t="s">
        <v>0</v>
      </c>
      <c r="G11" s="224"/>
      <c r="H11" s="224"/>
      <c r="I11" s="244" t="s">
        <v>57</v>
      </c>
      <c r="J11" s="226">
        <f>a_cl</f>
        <v>36</v>
      </c>
      <c r="K11" s="223" t="s">
        <v>2</v>
      </c>
      <c r="L11" s="244" t="s">
        <v>54</v>
      </c>
      <c r="M11" s="226">
        <f>h-a_tl</f>
        <v>414</v>
      </c>
      <c r="N11" s="223" t="s">
        <v>2</v>
      </c>
      <c r="O11" s="252" t="s">
        <v>48</v>
      </c>
      <c r="P11" s="226"/>
      <c r="Q11" s="246">
        <f>1-Q10</f>
        <v>0.5</v>
      </c>
      <c r="R11" s="364" t="s">
        <v>133</v>
      </c>
      <c r="S11" s="364"/>
      <c r="T11" s="230" t="s">
        <v>134</v>
      </c>
      <c r="U11" s="253" t="s">
        <v>135</v>
      </c>
      <c r="V11" s="171"/>
      <c r="W11" s="225">
        <f>IF(klasa="A",2.5,IF(klasa="B",5,7.5)/g_s)/100</f>
        <v>2.5000000000000001E-2</v>
      </c>
      <c r="X11" s="224" t="s">
        <v>72</v>
      </c>
      <c r="Y11" s="237" t="s">
        <v>234</v>
      </c>
      <c r="Z11" s="171"/>
      <c r="AA11" s="237" t="s">
        <v>235</v>
      </c>
      <c r="AB11" s="241">
        <f>MIN(Kalkulator!G19-F_u,Kalkulator!G20-F_l)</f>
        <v>61.599999999999994</v>
      </c>
      <c r="AC11" s="233" t="s">
        <v>2</v>
      </c>
      <c r="AD11" s="171"/>
      <c r="AE11" s="223"/>
      <c r="AF11" s="171"/>
      <c r="AG11" s="171"/>
      <c r="AH11" s="171"/>
      <c r="AI11" s="239"/>
      <c r="AJ11" s="233"/>
      <c r="AK11" s="223"/>
      <c r="AL11" s="171"/>
      <c r="AM11" s="237"/>
      <c r="AN11" s="171"/>
      <c r="AO11" s="239"/>
      <c r="AP11" s="233"/>
      <c r="AQ11" s="171"/>
      <c r="AR11" s="171"/>
      <c r="AS11" s="171"/>
      <c r="AT11" s="171"/>
      <c r="AU11" s="171"/>
      <c r="AV11" s="171"/>
      <c r="AW11" s="235" t="s">
        <v>60</v>
      </c>
      <c r="AX11" s="371" t="s">
        <v>90</v>
      </c>
      <c r="AY11" s="371"/>
      <c r="AZ11" s="371"/>
      <c r="BA11" s="371"/>
      <c r="BB11" s="232">
        <f>MIN(s_smax*d_tl/(s_smax-f_ynet),-s_smax*d_tl/(beta1*f_ynet*A_sc/A_st + f_cd-s_smax))</f>
        <v>-522.77647058823504</v>
      </c>
      <c r="BC11" s="223" t="s">
        <v>2</v>
      </c>
      <c r="BD11" s="171"/>
      <c r="BE11" s="171"/>
      <c r="BF11" s="171"/>
      <c r="BG11" s="171"/>
      <c r="BH11" s="171"/>
      <c r="BI11" s="171"/>
      <c r="BJ11" s="171"/>
      <c r="BK11" s="171"/>
    </row>
    <row r="12" spans="1:69" ht="20.100000000000001" customHeight="1">
      <c r="A12" s="171"/>
      <c r="B12" s="229" t="s">
        <v>95</v>
      </c>
      <c r="C12" s="230" t="s">
        <v>89</v>
      </c>
      <c r="D12" s="243" t="s">
        <v>87</v>
      </c>
      <c r="E12" s="225">
        <v>3.5000000000000001E-3</v>
      </c>
      <c r="F12" s="224" t="s">
        <v>72</v>
      </c>
      <c r="G12" s="224"/>
      <c r="H12" s="224"/>
      <c r="I12" s="171"/>
      <c r="J12" s="171"/>
      <c r="K12" s="229" t="s">
        <v>96</v>
      </c>
      <c r="L12" s="230" t="s">
        <v>82</v>
      </c>
      <c r="M12" s="231" t="s">
        <v>86</v>
      </c>
      <c r="N12" s="241">
        <f>b*h*f_cd</f>
        <v>5625000</v>
      </c>
      <c r="O12" s="233" t="s">
        <v>5</v>
      </c>
      <c r="P12" s="226"/>
      <c r="Q12" s="246"/>
      <c r="R12" s="171"/>
      <c r="S12" s="235"/>
      <c r="T12" s="254"/>
      <c r="U12" s="254"/>
      <c r="V12" s="254"/>
      <c r="W12" s="254"/>
      <c r="X12" s="232"/>
      <c r="Y12" s="171"/>
      <c r="Z12" s="171"/>
      <c r="AA12" s="171"/>
      <c r="AB12" s="171"/>
      <c r="AC12" s="171"/>
      <c r="AD12" s="171"/>
      <c r="AE12" s="171"/>
      <c r="AF12" s="171"/>
      <c r="AG12" s="255"/>
      <c r="AH12" s="171"/>
      <c r="AI12" s="171"/>
      <c r="AJ12" s="171"/>
      <c r="AK12" s="171"/>
      <c r="AL12" s="171"/>
      <c r="AM12" s="171"/>
      <c r="AN12" s="171"/>
      <c r="AO12" s="171"/>
      <c r="AP12" s="171"/>
      <c r="AQ12" s="171"/>
      <c r="AR12" s="171"/>
      <c r="AS12" s="171"/>
      <c r="AT12" s="171"/>
      <c r="AU12" s="171"/>
      <c r="AV12" s="171"/>
      <c r="AW12" s="171"/>
      <c r="AX12" s="227"/>
      <c r="AY12" s="171"/>
      <c r="AZ12" s="171"/>
      <c r="BA12" s="171"/>
      <c r="BB12" s="171"/>
      <c r="BC12" s="228"/>
      <c r="BD12" s="171"/>
      <c r="BE12" s="171"/>
      <c r="BF12" s="171"/>
      <c r="BG12" s="171"/>
      <c r="BH12" s="171"/>
      <c r="BI12" s="171"/>
      <c r="BJ12" s="171"/>
      <c r="BK12" s="171"/>
    </row>
    <row r="13" spans="1:69" ht="20.100000000000001" customHeight="1" thickBot="1">
      <c r="A13" s="171"/>
      <c r="B13" s="256"/>
      <c r="C13" s="256"/>
      <c r="D13" s="231"/>
      <c r="E13" s="223"/>
      <c r="F13" s="224"/>
      <c r="G13" s="224"/>
      <c r="H13" s="257"/>
      <c r="I13" s="258" t="s">
        <v>63</v>
      </c>
      <c r="J13" s="259"/>
      <c r="K13" s="195"/>
      <c r="L13" s="195"/>
      <c r="M13" s="260" t="s">
        <v>130</v>
      </c>
      <c r="N13" s="261">
        <v>41</v>
      </c>
      <c r="O13" s="262" t="s">
        <v>131</v>
      </c>
      <c r="P13" s="263">
        <f>(x_end-x_start)/N</f>
        <v>7.5731707073170735</v>
      </c>
      <c r="Q13" s="259"/>
      <c r="R13" s="195"/>
      <c r="S13" s="195"/>
      <c r="T13" s="195"/>
      <c r="U13" s="195"/>
      <c r="V13" s="195"/>
      <c r="W13" s="195"/>
      <c r="X13" s="195"/>
      <c r="Y13" s="195"/>
      <c r="Z13" s="195"/>
      <c r="AA13" s="195"/>
      <c r="AB13" s="195"/>
      <c r="AC13" s="195"/>
      <c r="AD13" s="195"/>
      <c r="AE13" s="195"/>
      <c r="AF13" s="195"/>
      <c r="AG13" s="264"/>
      <c r="AH13" s="259"/>
      <c r="AI13" s="195"/>
      <c r="AJ13" s="195"/>
      <c r="AK13" s="195"/>
      <c r="AL13" s="195"/>
      <c r="AM13" s="195"/>
      <c r="AN13" s="195"/>
      <c r="AO13" s="195"/>
      <c r="AP13" s="195"/>
      <c r="AQ13" s="195"/>
      <c r="AR13" s="195"/>
      <c r="AS13" s="195"/>
      <c r="AT13" s="195"/>
      <c r="AU13" s="195"/>
      <c r="AV13" s="195"/>
      <c r="AW13" s="195"/>
      <c r="AX13" s="258" t="s">
        <v>195</v>
      </c>
      <c r="AY13" s="242" t="s">
        <v>61</v>
      </c>
      <c r="AZ13" s="238">
        <v>10</v>
      </c>
      <c r="BA13" s="265" t="s">
        <v>62</v>
      </c>
      <c r="BB13" s="265">
        <f>(x_Nmax-x_end)/N_2</f>
        <v>78.218852459016418</v>
      </c>
      <c r="BC13" s="228"/>
      <c r="BD13" s="171"/>
      <c r="BE13" s="171"/>
      <c r="BF13" s="171"/>
      <c r="BG13" s="266"/>
      <c r="BH13" s="267" t="s">
        <v>9</v>
      </c>
      <c r="BI13" s="171"/>
      <c r="BJ13" s="171"/>
      <c r="BK13" s="171"/>
    </row>
    <row r="14" spans="1:69" ht="20.100000000000001" customHeight="1" thickTop="1">
      <c r="A14" s="171"/>
      <c r="B14" s="229" t="s">
        <v>78</v>
      </c>
      <c r="C14" s="268" t="s">
        <v>112</v>
      </c>
      <c r="D14" s="269"/>
      <c r="E14" s="270"/>
      <c r="F14" s="270" t="s">
        <v>2</v>
      </c>
      <c r="G14" s="271"/>
      <c r="H14" s="272">
        <v>-10</v>
      </c>
      <c r="I14" s="273">
        <v>9.9999999999999995E-7</v>
      </c>
      <c r="J14" s="272">
        <f t="shared" ref="J14:AW14" si="0">I14+Dx_1</f>
        <v>7.5731717073170737</v>
      </c>
      <c r="K14" s="272">
        <f t="shared" si="0"/>
        <v>15.146342414634148</v>
      </c>
      <c r="L14" s="272">
        <f t="shared" si="0"/>
        <v>22.719513121951223</v>
      </c>
      <c r="M14" s="272">
        <f t="shared" si="0"/>
        <v>30.292683829268299</v>
      </c>
      <c r="N14" s="272">
        <f t="shared" si="0"/>
        <v>37.865854536585374</v>
      </c>
      <c r="O14" s="272">
        <f t="shared" si="0"/>
        <v>45.439025243902449</v>
      </c>
      <c r="P14" s="272">
        <f t="shared" si="0"/>
        <v>53.012195951219525</v>
      </c>
      <c r="Q14" s="272">
        <f t="shared" si="0"/>
        <v>60.5853666585366</v>
      </c>
      <c r="R14" s="272">
        <f t="shared" si="0"/>
        <v>68.158537365853675</v>
      </c>
      <c r="S14" s="272">
        <f t="shared" si="0"/>
        <v>75.731708073170751</v>
      </c>
      <c r="T14" s="272">
        <f t="shared" si="0"/>
        <v>83.304878780487826</v>
      </c>
      <c r="U14" s="272">
        <f t="shared" si="0"/>
        <v>90.878049487804901</v>
      </c>
      <c r="V14" s="272">
        <f t="shared" si="0"/>
        <v>98.451220195121977</v>
      </c>
      <c r="W14" s="272">
        <f t="shared" si="0"/>
        <v>106.02439090243905</v>
      </c>
      <c r="X14" s="272">
        <f t="shared" si="0"/>
        <v>113.59756160975613</v>
      </c>
      <c r="Y14" s="272">
        <f t="shared" si="0"/>
        <v>121.1707323170732</v>
      </c>
      <c r="Z14" s="272">
        <f t="shared" si="0"/>
        <v>128.74390302439028</v>
      </c>
      <c r="AA14" s="272">
        <f t="shared" si="0"/>
        <v>136.31707373170735</v>
      </c>
      <c r="AB14" s="272">
        <f t="shared" si="0"/>
        <v>143.89024443902443</v>
      </c>
      <c r="AC14" s="272">
        <f t="shared" si="0"/>
        <v>151.4634151463415</v>
      </c>
      <c r="AD14" s="272">
        <f t="shared" si="0"/>
        <v>159.03658585365858</v>
      </c>
      <c r="AE14" s="272">
        <f t="shared" si="0"/>
        <v>166.60975656097565</v>
      </c>
      <c r="AF14" s="272">
        <f t="shared" si="0"/>
        <v>174.18292726829273</v>
      </c>
      <c r="AG14" s="272">
        <f t="shared" si="0"/>
        <v>181.7560979756098</v>
      </c>
      <c r="AH14" s="272">
        <f t="shared" si="0"/>
        <v>189.32926868292688</v>
      </c>
      <c r="AI14" s="272">
        <f t="shared" si="0"/>
        <v>196.90243939024396</v>
      </c>
      <c r="AJ14" s="272">
        <f t="shared" si="0"/>
        <v>204.47561009756103</v>
      </c>
      <c r="AK14" s="272">
        <f t="shared" si="0"/>
        <v>212.04878080487811</v>
      </c>
      <c r="AL14" s="272">
        <f t="shared" si="0"/>
        <v>219.62195151219518</v>
      </c>
      <c r="AM14" s="272">
        <f t="shared" si="0"/>
        <v>227.19512221951226</v>
      </c>
      <c r="AN14" s="272">
        <f t="shared" si="0"/>
        <v>234.76829292682933</v>
      </c>
      <c r="AO14" s="272">
        <f t="shared" si="0"/>
        <v>242.34146363414641</v>
      </c>
      <c r="AP14" s="272">
        <f t="shared" si="0"/>
        <v>249.91463434146348</v>
      </c>
      <c r="AQ14" s="272">
        <f t="shared" si="0"/>
        <v>257.48780504878056</v>
      </c>
      <c r="AR14" s="272">
        <f t="shared" si="0"/>
        <v>265.0609757560976</v>
      </c>
      <c r="AS14" s="272">
        <f t="shared" si="0"/>
        <v>272.63414646341465</v>
      </c>
      <c r="AT14" s="272">
        <f t="shared" si="0"/>
        <v>280.2073171707317</v>
      </c>
      <c r="AU14" s="272">
        <f t="shared" si="0"/>
        <v>287.78048787804875</v>
      </c>
      <c r="AV14" s="272">
        <f t="shared" si="0"/>
        <v>295.35365858536579</v>
      </c>
      <c r="AW14" s="272">
        <f t="shared" si="0"/>
        <v>302.92682929268284</v>
      </c>
      <c r="AX14" s="274">
        <f>0.75*d_tl</f>
        <v>310.5</v>
      </c>
      <c r="AY14" s="272">
        <f t="shared" ref="AY14:BG14" si="1">AX14+Dx_2</f>
        <v>388.71885245901643</v>
      </c>
      <c r="AZ14" s="272">
        <f t="shared" si="1"/>
        <v>466.93770491803286</v>
      </c>
      <c r="BA14" s="272">
        <f t="shared" si="1"/>
        <v>545.15655737704924</v>
      </c>
      <c r="BB14" s="272">
        <f t="shared" si="1"/>
        <v>623.37540983606561</v>
      </c>
      <c r="BC14" s="275">
        <f t="shared" si="1"/>
        <v>701.59426229508199</v>
      </c>
      <c r="BD14" s="272">
        <f t="shared" si="1"/>
        <v>779.81311475409836</v>
      </c>
      <c r="BE14" s="272">
        <f t="shared" si="1"/>
        <v>858.03196721311474</v>
      </c>
      <c r="BF14" s="272">
        <f t="shared" si="1"/>
        <v>936.25081967213112</v>
      </c>
      <c r="BG14" s="272">
        <f t="shared" si="1"/>
        <v>1014.4696721311475</v>
      </c>
      <c r="BH14" s="276">
        <f>x_C</f>
        <v>1092.6885245901642</v>
      </c>
      <c r="BI14" s="268" t="s">
        <v>112</v>
      </c>
      <c r="BJ14" s="171"/>
      <c r="BK14" s="232"/>
      <c r="BL14" s="7"/>
      <c r="BM14" s="7"/>
      <c r="BN14" s="7"/>
      <c r="BO14" s="7"/>
      <c r="BQ14" s="10"/>
    </row>
    <row r="15" spans="1:69" ht="20.100000000000001" customHeight="1">
      <c r="A15" s="171"/>
      <c r="B15" s="229" t="s">
        <v>97</v>
      </c>
      <c r="C15" s="277" t="s">
        <v>165</v>
      </c>
      <c r="D15" s="278" t="s">
        <v>148</v>
      </c>
      <c r="E15" s="191"/>
      <c r="F15" s="191" t="s">
        <v>72</v>
      </c>
      <c r="G15" s="192"/>
      <c r="H15" s="279">
        <f t="shared" ref="H15:AM15" si="2">H14/h</f>
        <v>-2.2222222222222223E-2</v>
      </c>
      <c r="I15" s="280">
        <f t="shared" si="2"/>
        <v>2.2222222222222221E-9</v>
      </c>
      <c r="J15" s="281">
        <f t="shared" si="2"/>
        <v>1.6829270460704607E-2</v>
      </c>
      <c r="K15" s="281">
        <f t="shared" si="2"/>
        <v>3.3658538699186995E-2</v>
      </c>
      <c r="L15" s="281">
        <f t="shared" si="2"/>
        <v>5.0487806937669383E-2</v>
      </c>
      <c r="M15" s="281">
        <f t="shared" si="2"/>
        <v>6.7317075176151778E-2</v>
      </c>
      <c r="N15" s="281">
        <f t="shared" si="2"/>
        <v>8.4146343414634159E-2</v>
      </c>
      <c r="O15" s="281">
        <f t="shared" si="2"/>
        <v>0.10097561165311655</v>
      </c>
      <c r="P15" s="281">
        <f>P14/h</f>
        <v>0.11780487989159895</v>
      </c>
      <c r="Q15" s="281">
        <f t="shared" si="2"/>
        <v>0.13463414813008134</v>
      </c>
      <c r="R15" s="281">
        <f t="shared" si="2"/>
        <v>0.15146341636856372</v>
      </c>
      <c r="S15" s="281">
        <f t="shared" si="2"/>
        <v>0.16829268460704611</v>
      </c>
      <c r="T15" s="281">
        <f t="shared" si="2"/>
        <v>0.18512195284552851</v>
      </c>
      <c r="U15" s="281">
        <f t="shared" si="2"/>
        <v>0.2019512210840109</v>
      </c>
      <c r="V15" s="281">
        <f t="shared" si="2"/>
        <v>0.21878048932249328</v>
      </c>
      <c r="W15" s="281">
        <f t="shared" si="2"/>
        <v>0.23560975756097566</v>
      </c>
      <c r="X15" s="281">
        <f t="shared" si="2"/>
        <v>0.25243902579945804</v>
      </c>
      <c r="Y15" s="281">
        <f t="shared" si="2"/>
        <v>0.26926829403794045</v>
      </c>
      <c r="Z15" s="281">
        <f t="shared" si="2"/>
        <v>0.28609756227642286</v>
      </c>
      <c r="AA15" s="281">
        <f t="shared" si="2"/>
        <v>0.30292683051490521</v>
      </c>
      <c r="AB15" s="281">
        <f t="shared" si="2"/>
        <v>0.31975609875338762</v>
      </c>
      <c r="AC15" s="281">
        <f t="shared" si="2"/>
        <v>0.33658536699187003</v>
      </c>
      <c r="AD15" s="281">
        <f t="shared" si="2"/>
        <v>0.35341463523035238</v>
      </c>
      <c r="AE15" s="281">
        <f t="shared" si="2"/>
        <v>0.37024390346883479</v>
      </c>
      <c r="AF15" s="281">
        <f t="shared" si="2"/>
        <v>0.3870731717073172</v>
      </c>
      <c r="AG15" s="281">
        <f t="shared" si="2"/>
        <v>0.40390243994579955</v>
      </c>
      <c r="AH15" s="281">
        <f t="shared" si="2"/>
        <v>0.42073170818428196</v>
      </c>
      <c r="AI15" s="281">
        <f t="shared" si="2"/>
        <v>0.43756097642276437</v>
      </c>
      <c r="AJ15" s="281">
        <f t="shared" si="2"/>
        <v>0.45439024466124672</v>
      </c>
      <c r="AK15" s="281">
        <f t="shared" si="2"/>
        <v>0.47121951289972913</v>
      </c>
      <c r="AL15" s="281">
        <f t="shared" si="2"/>
        <v>0.48804878113821154</v>
      </c>
      <c r="AM15" s="281">
        <f t="shared" si="2"/>
        <v>0.50487804937669389</v>
      </c>
      <c r="AN15" s="281">
        <f t="shared" ref="AN15:BH15" si="3">AN14/h</f>
        <v>0.5217073176151763</v>
      </c>
      <c r="AO15" s="281">
        <f t="shared" si="3"/>
        <v>0.53853658585365871</v>
      </c>
      <c r="AP15" s="281">
        <f t="shared" si="3"/>
        <v>0.55536585409214112</v>
      </c>
      <c r="AQ15" s="281">
        <f t="shared" si="3"/>
        <v>0.57219512233062342</v>
      </c>
      <c r="AR15" s="281">
        <f t="shared" si="3"/>
        <v>0.58902439056910583</v>
      </c>
      <c r="AS15" s="281">
        <f t="shared" si="3"/>
        <v>0.60585365880758812</v>
      </c>
      <c r="AT15" s="281">
        <f t="shared" si="3"/>
        <v>0.62268292704607042</v>
      </c>
      <c r="AU15" s="281">
        <f t="shared" si="3"/>
        <v>0.63951219528455272</v>
      </c>
      <c r="AV15" s="281">
        <f t="shared" si="3"/>
        <v>0.65634146352303513</v>
      </c>
      <c r="AW15" s="281">
        <f t="shared" si="3"/>
        <v>0.67317073176151743</v>
      </c>
      <c r="AX15" s="282">
        <f t="shared" si="3"/>
        <v>0.69</v>
      </c>
      <c r="AY15" s="281">
        <f t="shared" si="3"/>
        <v>0.86381967213114763</v>
      </c>
      <c r="AZ15" s="281">
        <f t="shared" si="3"/>
        <v>1.0376393442622953</v>
      </c>
      <c r="BA15" s="281">
        <f t="shared" si="3"/>
        <v>1.2114590163934427</v>
      </c>
      <c r="BB15" s="281">
        <f t="shared" si="3"/>
        <v>1.3852786885245902</v>
      </c>
      <c r="BC15" s="283">
        <f t="shared" si="3"/>
        <v>1.5590983606557378</v>
      </c>
      <c r="BD15" s="281">
        <f t="shared" si="3"/>
        <v>1.7329180327868852</v>
      </c>
      <c r="BE15" s="281">
        <f t="shared" si="3"/>
        <v>1.9067377049180327</v>
      </c>
      <c r="BF15" s="281">
        <f t="shared" si="3"/>
        <v>2.0805573770491801</v>
      </c>
      <c r="BG15" s="281">
        <f t="shared" si="3"/>
        <v>2.2543770491803277</v>
      </c>
      <c r="BH15" s="284">
        <f t="shared" si="3"/>
        <v>2.4281967213114761</v>
      </c>
      <c r="BI15" s="277" t="s">
        <v>165</v>
      </c>
      <c r="BJ15" s="171"/>
      <c r="BK15" s="232"/>
      <c r="BL15" s="7"/>
      <c r="BM15" s="7"/>
      <c r="BN15" s="7"/>
      <c r="BO15" s="7"/>
      <c r="BQ15" s="10"/>
    </row>
    <row r="16" spans="1:69" ht="20.100000000000001" customHeight="1">
      <c r="A16" s="171"/>
      <c r="B16" s="229" t="s">
        <v>98</v>
      </c>
      <c r="C16" s="285" t="s">
        <v>166</v>
      </c>
      <c r="D16" s="286" t="s">
        <v>149</v>
      </c>
      <c r="E16" s="191"/>
      <c r="F16" s="287" t="s">
        <v>5</v>
      </c>
      <c r="G16" s="192"/>
      <c r="H16" s="288"/>
      <c r="I16" s="289">
        <f t="shared" ref="I16:AN16" si="4">17/21*I15*F_cA</f>
        <v>1.011904761904762E-2</v>
      </c>
      <c r="J16" s="288">
        <f t="shared" si="4"/>
        <v>76633.285133565616</v>
      </c>
      <c r="K16" s="288">
        <f t="shared" si="4"/>
        <v>153266.56014808363</v>
      </c>
      <c r="L16" s="288">
        <f t="shared" si="4"/>
        <v>229899.83516260164</v>
      </c>
      <c r="M16" s="288">
        <f t="shared" si="4"/>
        <v>306533.11017711973</v>
      </c>
      <c r="N16" s="288">
        <f t="shared" si="4"/>
        <v>383166.38519163767</v>
      </c>
      <c r="O16" s="288">
        <f t="shared" si="4"/>
        <v>459799.66020615574</v>
      </c>
      <c r="P16" s="288">
        <f>17/21*P15*F_cA</f>
        <v>536432.9352206738</v>
      </c>
      <c r="Q16" s="288">
        <f t="shared" si="4"/>
        <v>613066.21023519186</v>
      </c>
      <c r="R16" s="288">
        <f t="shared" si="4"/>
        <v>689699.4852497098</v>
      </c>
      <c r="S16" s="288">
        <f t="shared" si="4"/>
        <v>766332.76026422775</v>
      </c>
      <c r="T16" s="288">
        <f t="shared" si="4"/>
        <v>842966.03527874593</v>
      </c>
      <c r="U16" s="288">
        <f t="shared" si="4"/>
        <v>919599.31029326399</v>
      </c>
      <c r="V16" s="288">
        <f t="shared" si="4"/>
        <v>996232.58530778182</v>
      </c>
      <c r="W16" s="288">
        <f t="shared" si="4"/>
        <v>1072865.8603222999</v>
      </c>
      <c r="X16" s="288">
        <f t="shared" si="4"/>
        <v>1149499.1353368179</v>
      </c>
      <c r="Y16" s="288">
        <f t="shared" si="4"/>
        <v>1226132.410351336</v>
      </c>
      <c r="Z16" s="288">
        <f t="shared" si="4"/>
        <v>1302765.6853658541</v>
      </c>
      <c r="AA16" s="288">
        <f t="shared" si="4"/>
        <v>1379398.9603803721</v>
      </c>
      <c r="AB16" s="288">
        <f t="shared" si="4"/>
        <v>1456032.2353948902</v>
      </c>
      <c r="AC16" s="288">
        <f t="shared" si="4"/>
        <v>1532665.510409408</v>
      </c>
      <c r="AD16" s="288">
        <f t="shared" si="4"/>
        <v>1609298.7854239258</v>
      </c>
      <c r="AE16" s="288">
        <f t="shared" si="4"/>
        <v>1685932.0604384441</v>
      </c>
      <c r="AF16" s="288">
        <f t="shared" si="4"/>
        <v>1762565.3354529622</v>
      </c>
      <c r="AG16" s="288">
        <f t="shared" si="4"/>
        <v>1839198.6104674803</v>
      </c>
      <c r="AH16" s="288">
        <f t="shared" si="4"/>
        <v>1915831.8854819983</v>
      </c>
      <c r="AI16" s="288">
        <f t="shared" si="4"/>
        <v>1992465.1604965162</v>
      </c>
      <c r="AJ16" s="288">
        <f t="shared" si="4"/>
        <v>2069098.4355110342</v>
      </c>
      <c r="AK16" s="288">
        <f t="shared" si="4"/>
        <v>2145731.7105255523</v>
      </c>
      <c r="AL16" s="288">
        <f t="shared" si="4"/>
        <v>2222364.9855400706</v>
      </c>
      <c r="AM16" s="288">
        <f t="shared" si="4"/>
        <v>2298998.2605545884</v>
      </c>
      <c r="AN16" s="288">
        <f t="shared" si="4"/>
        <v>2375631.5355691067</v>
      </c>
      <c r="AO16" s="288">
        <f t="shared" ref="AO16:BH16" si="5">17/21*AO15*F_cA</f>
        <v>2452264.8105836245</v>
      </c>
      <c r="AP16" s="288">
        <f t="shared" si="5"/>
        <v>2528898.0855981428</v>
      </c>
      <c r="AQ16" s="288">
        <f t="shared" si="5"/>
        <v>2605531.3606126602</v>
      </c>
      <c r="AR16" s="288">
        <f t="shared" si="5"/>
        <v>2682164.6356271785</v>
      </c>
      <c r="AS16" s="288">
        <f t="shared" si="5"/>
        <v>2758797.9106416958</v>
      </c>
      <c r="AT16" s="288">
        <f t="shared" si="5"/>
        <v>2835431.1856562137</v>
      </c>
      <c r="AU16" s="288">
        <f t="shared" si="5"/>
        <v>2912064.460670731</v>
      </c>
      <c r="AV16" s="288">
        <f t="shared" si="5"/>
        <v>2988697.7356852493</v>
      </c>
      <c r="AW16" s="288">
        <f t="shared" si="5"/>
        <v>3065331.0106997667</v>
      </c>
      <c r="AX16" s="290">
        <f t="shared" si="5"/>
        <v>3141964.2857142854</v>
      </c>
      <c r="AY16" s="288">
        <f t="shared" si="5"/>
        <v>3933464.5784543334</v>
      </c>
      <c r="AZ16" s="288">
        <f t="shared" si="5"/>
        <v>4724964.8711943803</v>
      </c>
      <c r="BA16" s="288">
        <f t="shared" si="5"/>
        <v>5516465.1639344264</v>
      </c>
      <c r="BB16" s="288">
        <f t="shared" si="5"/>
        <v>6307965.4566744734</v>
      </c>
      <c r="BC16" s="291">
        <f t="shared" si="5"/>
        <v>7099465.7494145213</v>
      </c>
      <c r="BD16" s="288">
        <f t="shared" si="5"/>
        <v>7890966.0421545664</v>
      </c>
      <c r="BE16" s="288">
        <f t="shared" si="5"/>
        <v>8682466.3348946124</v>
      </c>
      <c r="BF16" s="288">
        <f t="shared" si="5"/>
        <v>9473966.6276346594</v>
      </c>
      <c r="BG16" s="288">
        <f t="shared" si="5"/>
        <v>10265466.920374706</v>
      </c>
      <c r="BH16" s="292">
        <f t="shared" si="5"/>
        <v>11056967.213114757</v>
      </c>
      <c r="BI16" s="285" t="s">
        <v>166</v>
      </c>
      <c r="BJ16" s="171"/>
      <c r="BK16" s="241"/>
      <c r="BL16" s="9"/>
      <c r="BM16" s="9"/>
      <c r="BN16" s="9"/>
      <c r="BO16" s="9"/>
      <c r="BQ16" s="11"/>
    </row>
    <row r="17" spans="1:69" ht="20.100000000000001" customHeight="1">
      <c r="A17" s="171"/>
      <c r="B17" s="229" t="s">
        <v>111</v>
      </c>
      <c r="C17" s="285" t="s">
        <v>118</v>
      </c>
      <c r="D17" s="286" t="s">
        <v>151</v>
      </c>
      <c r="E17" s="191"/>
      <c r="F17" s="287"/>
      <c r="G17" s="192"/>
      <c r="H17" s="288">
        <f t="shared" ref="H17:AM17" si="6">IF(H15&gt;1,7/192*(1/H15-1)^2,0)*F_cA</f>
        <v>0</v>
      </c>
      <c r="I17" s="293">
        <f t="shared" si="6"/>
        <v>0</v>
      </c>
      <c r="J17" s="288">
        <f t="shared" si="6"/>
        <v>0</v>
      </c>
      <c r="K17" s="288">
        <f t="shared" si="6"/>
        <v>0</v>
      </c>
      <c r="L17" s="288">
        <f t="shared" si="6"/>
        <v>0</v>
      </c>
      <c r="M17" s="288">
        <f t="shared" si="6"/>
        <v>0</v>
      </c>
      <c r="N17" s="288">
        <f t="shared" si="6"/>
        <v>0</v>
      </c>
      <c r="O17" s="288">
        <f t="shared" si="6"/>
        <v>0</v>
      </c>
      <c r="P17" s="288">
        <f t="shared" si="6"/>
        <v>0</v>
      </c>
      <c r="Q17" s="288">
        <f t="shared" si="6"/>
        <v>0</v>
      </c>
      <c r="R17" s="288">
        <f t="shared" si="6"/>
        <v>0</v>
      </c>
      <c r="S17" s="288">
        <f t="shared" si="6"/>
        <v>0</v>
      </c>
      <c r="T17" s="288">
        <f t="shared" si="6"/>
        <v>0</v>
      </c>
      <c r="U17" s="288">
        <f t="shared" si="6"/>
        <v>0</v>
      </c>
      <c r="V17" s="288">
        <f t="shared" si="6"/>
        <v>0</v>
      </c>
      <c r="W17" s="288">
        <f t="shared" si="6"/>
        <v>0</v>
      </c>
      <c r="X17" s="288">
        <f t="shared" si="6"/>
        <v>0</v>
      </c>
      <c r="Y17" s="288">
        <f t="shared" si="6"/>
        <v>0</v>
      </c>
      <c r="Z17" s="288">
        <f t="shared" si="6"/>
        <v>0</v>
      </c>
      <c r="AA17" s="288">
        <f t="shared" si="6"/>
        <v>0</v>
      </c>
      <c r="AB17" s="288">
        <f t="shared" si="6"/>
        <v>0</v>
      </c>
      <c r="AC17" s="288">
        <f t="shared" si="6"/>
        <v>0</v>
      </c>
      <c r="AD17" s="288">
        <f t="shared" si="6"/>
        <v>0</v>
      </c>
      <c r="AE17" s="288">
        <f t="shared" si="6"/>
        <v>0</v>
      </c>
      <c r="AF17" s="288">
        <f t="shared" si="6"/>
        <v>0</v>
      </c>
      <c r="AG17" s="288">
        <f t="shared" si="6"/>
        <v>0</v>
      </c>
      <c r="AH17" s="288">
        <f t="shared" si="6"/>
        <v>0</v>
      </c>
      <c r="AI17" s="288">
        <f t="shared" si="6"/>
        <v>0</v>
      </c>
      <c r="AJ17" s="288">
        <f t="shared" si="6"/>
        <v>0</v>
      </c>
      <c r="AK17" s="288">
        <f t="shared" si="6"/>
        <v>0</v>
      </c>
      <c r="AL17" s="288">
        <f t="shared" si="6"/>
        <v>0</v>
      </c>
      <c r="AM17" s="288">
        <f t="shared" si="6"/>
        <v>0</v>
      </c>
      <c r="AN17" s="288">
        <f t="shared" ref="AN17:BH17" si="7">IF(AN15&gt;1,7/192*(1/AN15-1)^2,0)*F_cA</f>
        <v>0</v>
      </c>
      <c r="AO17" s="288">
        <f t="shared" si="7"/>
        <v>0</v>
      </c>
      <c r="AP17" s="288">
        <f t="shared" si="7"/>
        <v>0</v>
      </c>
      <c r="AQ17" s="288">
        <f t="shared" si="7"/>
        <v>0</v>
      </c>
      <c r="AR17" s="288">
        <f t="shared" si="7"/>
        <v>0</v>
      </c>
      <c r="AS17" s="288">
        <f t="shared" si="7"/>
        <v>0</v>
      </c>
      <c r="AT17" s="288">
        <f t="shared" si="7"/>
        <v>0</v>
      </c>
      <c r="AU17" s="288">
        <f t="shared" si="7"/>
        <v>0</v>
      </c>
      <c r="AV17" s="288">
        <f t="shared" si="7"/>
        <v>0</v>
      </c>
      <c r="AW17" s="288">
        <f t="shared" si="7"/>
        <v>0</v>
      </c>
      <c r="AX17" s="290">
        <f t="shared" si="7"/>
        <v>0</v>
      </c>
      <c r="AY17" s="288">
        <f t="shared" si="7"/>
        <v>0</v>
      </c>
      <c r="AZ17" s="288">
        <f t="shared" si="7"/>
        <v>269.8426383041633</v>
      </c>
      <c r="BA17" s="288">
        <f t="shared" si="7"/>
        <v>6248.1910505349924</v>
      </c>
      <c r="BB17" s="288">
        <f t="shared" si="7"/>
        <v>15863.353638644196</v>
      </c>
      <c r="BC17" s="291">
        <f t="shared" si="7"/>
        <v>26372.344849194989</v>
      </c>
      <c r="BD17" s="288">
        <f t="shared" si="7"/>
        <v>36683.78256059494</v>
      </c>
      <c r="BE17" s="288">
        <f t="shared" si="7"/>
        <v>46376.800063460207</v>
      </c>
      <c r="BF17" s="288">
        <f t="shared" si="7"/>
        <v>55316.616618173677</v>
      </c>
      <c r="BG17" s="288">
        <f t="shared" si="7"/>
        <v>63492.500031205273</v>
      </c>
      <c r="BH17" s="292">
        <f t="shared" si="7"/>
        <v>70945.959204129729</v>
      </c>
      <c r="BI17" s="285" t="s">
        <v>118</v>
      </c>
      <c r="BJ17" s="171"/>
      <c r="BK17" s="241"/>
      <c r="BL17" s="9"/>
      <c r="BM17" s="9"/>
      <c r="BN17" s="9"/>
      <c r="BO17" s="9"/>
      <c r="BQ17" s="11"/>
    </row>
    <row r="18" spans="1:69" ht="20.100000000000001" customHeight="1">
      <c r="A18" s="171"/>
      <c r="B18" s="229" t="s">
        <v>99</v>
      </c>
      <c r="C18" s="285" t="s">
        <v>167</v>
      </c>
      <c r="D18" s="286" t="s">
        <v>150</v>
      </c>
      <c r="E18" s="191"/>
      <c r="F18" s="287" t="s">
        <v>5</v>
      </c>
      <c r="G18" s="192"/>
      <c r="H18" s="288"/>
      <c r="I18" s="293">
        <f>I17*(21+20*I15)</f>
        <v>0</v>
      </c>
      <c r="J18" s="288">
        <f>J17*(21+20*J15)</f>
        <v>0</v>
      </c>
      <c r="K18" s="288">
        <f t="shared" ref="K18:BH18" si="8">K17*(21+20*K15)</f>
        <v>0</v>
      </c>
      <c r="L18" s="288">
        <f t="shared" si="8"/>
        <v>0</v>
      </c>
      <c r="M18" s="288">
        <f t="shared" si="8"/>
        <v>0</v>
      </c>
      <c r="N18" s="288">
        <f t="shared" si="8"/>
        <v>0</v>
      </c>
      <c r="O18" s="288">
        <f t="shared" si="8"/>
        <v>0</v>
      </c>
      <c r="P18" s="288">
        <f t="shared" si="8"/>
        <v>0</v>
      </c>
      <c r="Q18" s="288">
        <f t="shared" si="8"/>
        <v>0</v>
      </c>
      <c r="R18" s="288">
        <f t="shared" si="8"/>
        <v>0</v>
      </c>
      <c r="S18" s="288">
        <f t="shared" si="8"/>
        <v>0</v>
      </c>
      <c r="T18" s="288">
        <f t="shared" si="8"/>
        <v>0</v>
      </c>
      <c r="U18" s="288">
        <f t="shared" si="8"/>
        <v>0</v>
      </c>
      <c r="V18" s="288">
        <f t="shared" si="8"/>
        <v>0</v>
      </c>
      <c r="W18" s="288">
        <f t="shared" si="8"/>
        <v>0</v>
      </c>
      <c r="X18" s="288">
        <f t="shared" si="8"/>
        <v>0</v>
      </c>
      <c r="Y18" s="288">
        <f t="shared" si="8"/>
        <v>0</v>
      </c>
      <c r="Z18" s="288">
        <f t="shared" si="8"/>
        <v>0</v>
      </c>
      <c r="AA18" s="288">
        <f t="shared" si="8"/>
        <v>0</v>
      </c>
      <c r="AB18" s="288">
        <f t="shared" si="8"/>
        <v>0</v>
      </c>
      <c r="AC18" s="288">
        <f t="shared" si="8"/>
        <v>0</v>
      </c>
      <c r="AD18" s="288">
        <f t="shared" si="8"/>
        <v>0</v>
      </c>
      <c r="AE18" s="288">
        <f t="shared" si="8"/>
        <v>0</v>
      </c>
      <c r="AF18" s="288">
        <f t="shared" si="8"/>
        <v>0</v>
      </c>
      <c r="AG18" s="288">
        <f t="shared" si="8"/>
        <v>0</v>
      </c>
      <c r="AH18" s="288">
        <f t="shared" si="8"/>
        <v>0</v>
      </c>
      <c r="AI18" s="288">
        <f t="shared" si="8"/>
        <v>0</v>
      </c>
      <c r="AJ18" s="288">
        <f t="shared" si="8"/>
        <v>0</v>
      </c>
      <c r="AK18" s="288">
        <f t="shared" si="8"/>
        <v>0</v>
      </c>
      <c r="AL18" s="288">
        <f t="shared" si="8"/>
        <v>0</v>
      </c>
      <c r="AM18" s="288">
        <f t="shared" si="8"/>
        <v>0</v>
      </c>
      <c r="AN18" s="288">
        <f t="shared" si="8"/>
        <v>0</v>
      </c>
      <c r="AO18" s="288">
        <f t="shared" si="8"/>
        <v>0</v>
      </c>
      <c r="AP18" s="288">
        <f t="shared" si="8"/>
        <v>0</v>
      </c>
      <c r="AQ18" s="288">
        <f t="shared" si="8"/>
        <v>0</v>
      </c>
      <c r="AR18" s="288">
        <f t="shared" si="8"/>
        <v>0</v>
      </c>
      <c r="AS18" s="288">
        <f t="shared" si="8"/>
        <v>0</v>
      </c>
      <c r="AT18" s="288">
        <f t="shared" si="8"/>
        <v>0</v>
      </c>
      <c r="AU18" s="288">
        <f t="shared" si="8"/>
        <v>0</v>
      </c>
      <c r="AV18" s="288">
        <f t="shared" si="8"/>
        <v>0</v>
      </c>
      <c r="AW18" s="288">
        <f t="shared" si="8"/>
        <v>0</v>
      </c>
      <c r="AX18" s="290">
        <f t="shared" si="8"/>
        <v>0</v>
      </c>
      <c r="AY18" s="288">
        <f t="shared" si="8"/>
        <v>0</v>
      </c>
      <c r="AZ18" s="288">
        <f t="shared" si="8"/>
        <v>11266.682169666225</v>
      </c>
      <c r="BA18" s="288">
        <f t="shared" si="8"/>
        <v>282600.55974762351</v>
      </c>
      <c r="BB18" s="288">
        <f t="shared" si="8"/>
        <v>772633.74089438445</v>
      </c>
      <c r="BC18" s="291">
        <f t="shared" si="8"/>
        <v>1376160.8342536488</v>
      </c>
      <c r="BD18" s="288">
        <f t="shared" si="8"/>
        <v>2041759.1999742542</v>
      </c>
      <c r="BE18" s="288">
        <f t="shared" si="8"/>
        <v>2742480.6676215562</v>
      </c>
      <c r="BF18" s="288">
        <f t="shared" si="8"/>
        <v>3463436.8445484973</v>
      </c>
      <c r="BG18" s="288">
        <f t="shared" si="8"/>
        <v>4196063.1979639186</v>
      </c>
      <c r="BH18" s="292">
        <f t="shared" si="8"/>
        <v>4935280.0538820354</v>
      </c>
      <c r="BI18" s="285" t="s">
        <v>167</v>
      </c>
      <c r="BJ18" s="171"/>
      <c r="BK18" s="241"/>
      <c r="BL18" s="9"/>
      <c r="BM18" s="9"/>
      <c r="BN18" s="9"/>
      <c r="BO18" s="9"/>
      <c r="BQ18" s="11"/>
    </row>
    <row r="19" spans="1:69" ht="20.100000000000001" customHeight="1">
      <c r="A19" s="171"/>
      <c r="B19" s="229" t="s">
        <v>100</v>
      </c>
      <c r="C19" s="294" t="s">
        <v>168</v>
      </c>
      <c r="D19" s="286" t="s">
        <v>152</v>
      </c>
      <c r="E19" s="191"/>
      <c r="F19" s="287" t="s">
        <v>5</v>
      </c>
      <c r="G19" s="192"/>
      <c r="H19" s="288"/>
      <c r="I19" s="293">
        <f>I16-I18</f>
        <v>1.011904761904762E-2</v>
      </c>
      <c r="J19" s="288">
        <f t="shared" ref="J19:BH19" si="9">J16-J18</f>
        <v>76633.285133565616</v>
      </c>
      <c r="K19" s="288">
        <f t="shared" si="9"/>
        <v>153266.56014808363</v>
      </c>
      <c r="L19" s="288">
        <f t="shared" si="9"/>
        <v>229899.83516260164</v>
      </c>
      <c r="M19" s="288">
        <f t="shared" si="9"/>
        <v>306533.11017711973</v>
      </c>
      <c r="N19" s="288">
        <f t="shared" si="9"/>
        <v>383166.38519163767</v>
      </c>
      <c r="O19" s="288">
        <f t="shared" si="9"/>
        <v>459799.66020615574</v>
      </c>
      <c r="P19" s="288">
        <f t="shared" si="9"/>
        <v>536432.9352206738</v>
      </c>
      <c r="Q19" s="288">
        <f t="shared" si="9"/>
        <v>613066.21023519186</v>
      </c>
      <c r="R19" s="288">
        <f t="shared" si="9"/>
        <v>689699.4852497098</v>
      </c>
      <c r="S19" s="288">
        <f t="shared" si="9"/>
        <v>766332.76026422775</v>
      </c>
      <c r="T19" s="288">
        <f t="shared" si="9"/>
        <v>842966.03527874593</v>
      </c>
      <c r="U19" s="288">
        <f t="shared" si="9"/>
        <v>919599.31029326399</v>
      </c>
      <c r="V19" s="288">
        <f t="shared" si="9"/>
        <v>996232.58530778182</v>
      </c>
      <c r="W19" s="288">
        <f t="shared" si="9"/>
        <v>1072865.8603222999</v>
      </c>
      <c r="X19" s="288">
        <f t="shared" si="9"/>
        <v>1149499.1353368179</v>
      </c>
      <c r="Y19" s="288">
        <f t="shared" si="9"/>
        <v>1226132.410351336</v>
      </c>
      <c r="Z19" s="288">
        <f t="shared" si="9"/>
        <v>1302765.6853658541</v>
      </c>
      <c r="AA19" s="288">
        <f t="shared" si="9"/>
        <v>1379398.9603803721</v>
      </c>
      <c r="AB19" s="288">
        <f t="shared" si="9"/>
        <v>1456032.2353948902</v>
      </c>
      <c r="AC19" s="288">
        <f t="shared" si="9"/>
        <v>1532665.510409408</v>
      </c>
      <c r="AD19" s="288">
        <f t="shared" si="9"/>
        <v>1609298.7854239258</v>
      </c>
      <c r="AE19" s="288">
        <f t="shared" si="9"/>
        <v>1685932.0604384441</v>
      </c>
      <c r="AF19" s="288">
        <f t="shared" si="9"/>
        <v>1762565.3354529622</v>
      </c>
      <c r="AG19" s="288">
        <f t="shared" si="9"/>
        <v>1839198.6104674803</v>
      </c>
      <c r="AH19" s="288">
        <f t="shared" si="9"/>
        <v>1915831.8854819983</v>
      </c>
      <c r="AI19" s="288">
        <f t="shared" si="9"/>
        <v>1992465.1604965162</v>
      </c>
      <c r="AJ19" s="288">
        <f t="shared" si="9"/>
        <v>2069098.4355110342</v>
      </c>
      <c r="AK19" s="288">
        <f t="shared" si="9"/>
        <v>2145731.7105255523</v>
      </c>
      <c r="AL19" s="288">
        <f t="shared" si="9"/>
        <v>2222364.9855400706</v>
      </c>
      <c r="AM19" s="288">
        <f t="shared" si="9"/>
        <v>2298998.2605545884</v>
      </c>
      <c r="AN19" s="288">
        <f t="shared" si="9"/>
        <v>2375631.5355691067</v>
      </c>
      <c r="AO19" s="288">
        <f t="shared" si="9"/>
        <v>2452264.8105836245</v>
      </c>
      <c r="AP19" s="288">
        <f t="shared" si="9"/>
        <v>2528898.0855981428</v>
      </c>
      <c r="AQ19" s="288">
        <f t="shared" si="9"/>
        <v>2605531.3606126602</v>
      </c>
      <c r="AR19" s="288">
        <f t="shared" si="9"/>
        <v>2682164.6356271785</v>
      </c>
      <c r="AS19" s="288">
        <f t="shared" si="9"/>
        <v>2758797.9106416958</v>
      </c>
      <c r="AT19" s="288">
        <f t="shared" si="9"/>
        <v>2835431.1856562137</v>
      </c>
      <c r="AU19" s="288">
        <f t="shared" si="9"/>
        <v>2912064.460670731</v>
      </c>
      <c r="AV19" s="288">
        <f t="shared" si="9"/>
        <v>2988697.7356852493</v>
      </c>
      <c r="AW19" s="288">
        <f t="shared" si="9"/>
        <v>3065331.0106997667</v>
      </c>
      <c r="AX19" s="290">
        <f t="shared" si="9"/>
        <v>3141964.2857142854</v>
      </c>
      <c r="AY19" s="288">
        <f t="shared" si="9"/>
        <v>3933464.5784543334</v>
      </c>
      <c r="AZ19" s="288">
        <f t="shared" si="9"/>
        <v>4713698.1890247138</v>
      </c>
      <c r="BA19" s="288">
        <f t="shared" si="9"/>
        <v>5233864.6041868031</v>
      </c>
      <c r="BB19" s="288">
        <f t="shared" si="9"/>
        <v>5535331.7157800887</v>
      </c>
      <c r="BC19" s="291">
        <f t="shared" si="9"/>
        <v>5723304.915160872</v>
      </c>
      <c r="BD19" s="288">
        <f t="shared" si="9"/>
        <v>5849206.8421803117</v>
      </c>
      <c r="BE19" s="288">
        <f t="shared" si="9"/>
        <v>5939985.6672730558</v>
      </c>
      <c r="BF19" s="288">
        <f t="shared" si="9"/>
        <v>6010529.7830861621</v>
      </c>
      <c r="BG19" s="288">
        <f t="shared" si="9"/>
        <v>6069403.7224107878</v>
      </c>
      <c r="BH19" s="292">
        <f t="shared" si="9"/>
        <v>6121687.1592327217</v>
      </c>
      <c r="BI19" s="294" t="s">
        <v>168</v>
      </c>
      <c r="BJ19" s="171"/>
      <c r="BK19" s="241"/>
      <c r="BL19" s="9"/>
      <c r="BM19" s="9"/>
      <c r="BN19" s="9"/>
      <c r="BO19" s="9"/>
      <c r="BQ19" s="11"/>
    </row>
    <row r="20" spans="1:69" ht="20.100000000000001" customHeight="1">
      <c r="A20" s="171"/>
      <c r="B20" s="229" t="s">
        <v>102</v>
      </c>
      <c r="C20" s="294" t="s">
        <v>169</v>
      </c>
      <c r="D20" s="295" t="s">
        <v>153</v>
      </c>
      <c r="E20" s="191"/>
      <c r="F20" s="287" t="s">
        <v>72</v>
      </c>
      <c r="G20" s="192"/>
      <c r="H20" s="296">
        <f t="shared" ref="H20:AM20" si="10" xml:space="preserve"> SIGN(H14)*SIGN(1-d_cu/H14)*IF(ABS(e_cu2*(1-d_cu/H14))&gt;e_ud,e_ud,(e_cu2*(1-d_cu/H14)))</f>
        <v>-1.61E-2</v>
      </c>
      <c r="I20" s="293">
        <f t="shared" si="10"/>
        <v>-2.5000000000000001E-2</v>
      </c>
      <c r="J20" s="296">
        <f t="shared" si="10"/>
        <v>1.3137679016079996E-2</v>
      </c>
      <c r="K20" s="296">
        <f t="shared" si="10"/>
        <v>4.8188400572709133E-3</v>
      </c>
      <c r="L20" s="296">
        <f t="shared" si="10"/>
        <v>2.0458934935652668E-3</v>
      </c>
      <c r="M20" s="296">
        <f t="shared" si="10"/>
        <v>6.5942016594319872E-4</v>
      </c>
      <c r="N20" s="296">
        <f t="shared" si="10"/>
        <v>1.7246384527620141E-4</v>
      </c>
      <c r="O20" s="296">
        <f t="shared" si="10"/>
        <v>7.2705319219170121E-4</v>
      </c>
      <c r="P20" s="296">
        <f t="shared" si="10"/>
        <v>1.1231884429774991E-3</v>
      </c>
      <c r="Q20" s="296">
        <f t="shared" si="10"/>
        <v>1.4202898827014635E-3</v>
      </c>
      <c r="R20" s="296">
        <f t="shared" si="10"/>
        <v>1.6513687812332084E-3</v>
      </c>
      <c r="S20" s="296">
        <f t="shared" si="10"/>
        <v>1.8362319006688607E-3</v>
      </c>
      <c r="T20" s="296">
        <f t="shared" si="10"/>
        <v>1.9874835442469608E-3</v>
      </c>
      <c r="U20" s="296">
        <f t="shared" si="10"/>
        <v>2.1135265808394335E-3</v>
      </c>
      <c r="V20" s="296">
        <f t="shared" si="10"/>
        <v>2.2201783812300277E-3</v>
      </c>
      <c r="W20" s="296">
        <f t="shared" si="10"/>
        <v>2.3115942102799538E-3</v>
      </c>
      <c r="X20" s="296">
        <f t="shared" si="10"/>
        <v>2.3908212622305203E-3</v>
      </c>
      <c r="Y20" s="296">
        <f t="shared" si="10"/>
        <v>2.4601449327689975E-3</v>
      </c>
      <c r="Z20" s="296">
        <f t="shared" si="10"/>
        <v>2.5213128774251191E-3</v>
      </c>
      <c r="AA20" s="296">
        <f t="shared" si="10"/>
        <v>2.5756843838359742E-3</v>
      </c>
      <c r="AB20" s="296">
        <f t="shared" si="10"/>
        <v>2.6243325738223044E-3</v>
      </c>
      <c r="AC20" s="296">
        <f t="shared" si="10"/>
        <v>2.6681159448421203E-3</v>
      </c>
      <c r="AD20" s="296">
        <f t="shared" si="10"/>
        <v>2.7077294710291253E-3</v>
      </c>
      <c r="AE20" s="296">
        <f t="shared" si="10"/>
        <v>2.7437417675843811E-3</v>
      </c>
      <c r="AF20" s="296">
        <f t="shared" si="10"/>
        <v>2.776622560109332E-3</v>
      </c>
      <c r="AG20" s="296">
        <f t="shared" si="10"/>
        <v>2.8067632866056124E-3</v>
      </c>
      <c r="AH20" s="296">
        <f t="shared" si="10"/>
        <v>2.8344927549949265E-3</v>
      </c>
      <c r="AI20" s="296">
        <f t="shared" si="10"/>
        <v>2.8600891873651261E-3</v>
      </c>
      <c r="AJ20" s="296">
        <f t="shared" si="10"/>
        <v>2.8837895877171765E-3</v>
      </c>
      <c r="AK20" s="296">
        <f t="shared" si="10"/>
        <v>2.9057971023377779E-3</v>
      </c>
      <c r="AL20" s="296">
        <f t="shared" si="10"/>
        <v>2.9262868573362829E-3</v>
      </c>
      <c r="AM20" s="296">
        <f t="shared" si="10"/>
        <v>2.9454106286742332E-3</v>
      </c>
      <c r="AN20" s="296">
        <f t="shared" ref="AN20:BH20" si="11" xml:space="preserve"> SIGN(AN14)*SIGN(1-d_cu/AN14)*IF(ABS(e_cu2*(1-d_cu/AN14))&gt;e_ud,e_ud,(e_cu2*(1-d_cu/AN14)))</f>
        <v>2.9633006083182169E-3</v>
      </c>
      <c r="AO20" s="296">
        <f t="shared" si="11"/>
        <v>2.980072464239065E-3</v>
      </c>
      <c r="AP20" s="296">
        <f t="shared" si="11"/>
        <v>2.9958278440475657E-3</v>
      </c>
      <c r="AQ20" s="296">
        <f t="shared" si="11"/>
        <v>3.0106564368121065E-3</v>
      </c>
      <c r="AR20" s="296">
        <f t="shared" si="11"/>
        <v>3.02463768142187E-3</v>
      </c>
      <c r="AS20" s="296">
        <f t="shared" si="11"/>
        <v>3.0378421902228295E-3</v>
      </c>
      <c r="AT20" s="296">
        <f t="shared" si="11"/>
        <v>3.0503329417938519E-3</v>
      </c>
      <c r="AU20" s="296">
        <f t="shared" si="11"/>
        <v>3.0621662853897364E-3</v>
      </c>
      <c r="AV20" s="296">
        <f t="shared" si="11"/>
        <v>3.0733927908545536E-3</v>
      </c>
      <c r="AW20" s="296">
        <f t="shared" si="11"/>
        <v>3.0840579710479823E-3</v>
      </c>
      <c r="AX20" s="290">
        <f t="shared" si="11"/>
        <v>3.094202898550725E-3</v>
      </c>
      <c r="AY20" s="296">
        <f t="shared" si="11"/>
        <v>3.1758582733949479E-3</v>
      </c>
      <c r="AZ20" s="296">
        <f t="shared" si="11"/>
        <v>3.2301567239635997E-3</v>
      </c>
      <c r="BA20" s="296">
        <f t="shared" si="11"/>
        <v>3.2688737330681065E-3</v>
      </c>
      <c r="BB20" s="296">
        <f t="shared" si="11"/>
        <v>3.2978746065181891E-3</v>
      </c>
      <c r="BC20" s="296">
        <f t="shared" si="11"/>
        <v>3.3204090216076968E-3</v>
      </c>
      <c r="BD20" s="296">
        <f t="shared" si="11"/>
        <v>3.3384228251409544E-3</v>
      </c>
      <c r="BE20" s="296">
        <f t="shared" si="11"/>
        <v>3.3531523243717277E-3</v>
      </c>
      <c r="BF20" s="296">
        <f t="shared" si="11"/>
        <v>3.3654206785697404E-3</v>
      </c>
      <c r="BG20" s="296">
        <f t="shared" si="11"/>
        <v>3.3757971741675574E-3</v>
      </c>
      <c r="BH20" s="290">
        <f t="shared" si="11"/>
        <v>3.3846880907372401E-3</v>
      </c>
      <c r="BI20" s="294" t="s">
        <v>169</v>
      </c>
      <c r="BJ20" s="171"/>
      <c r="BK20" s="251"/>
      <c r="BL20" s="12"/>
      <c r="BM20" s="12"/>
      <c r="BN20" s="12"/>
      <c r="BO20" s="12"/>
      <c r="BQ20" s="13"/>
    </row>
    <row r="21" spans="1:69" s="102" customFormat="1" ht="20.100000000000001" customHeight="1">
      <c r="A21" s="288"/>
      <c r="B21" s="229" t="s">
        <v>145</v>
      </c>
      <c r="C21" s="294" t="s">
        <v>170</v>
      </c>
      <c r="D21" s="288"/>
      <c r="E21" s="288"/>
      <c r="F21" s="287" t="s">
        <v>0</v>
      </c>
      <c r="G21" s="288"/>
      <c r="H21" s="296">
        <f>ABS(H20)</f>
        <v>1.61E-2</v>
      </c>
      <c r="I21" s="293">
        <f t="shared" ref="I21:BH21" si="12">ABS(I20)</f>
        <v>2.5000000000000001E-2</v>
      </c>
      <c r="J21" s="296">
        <f t="shared" si="12"/>
        <v>1.3137679016079996E-2</v>
      </c>
      <c r="K21" s="296">
        <f t="shared" si="12"/>
        <v>4.8188400572709133E-3</v>
      </c>
      <c r="L21" s="296">
        <f t="shared" si="12"/>
        <v>2.0458934935652668E-3</v>
      </c>
      <c r="M21" s="296">
        <f t="shared" si="12"/>
        <v>6.5942016594319872E-4</v>
      </c>
      <c r="N21" s="296">
        <f t="shared" si="12"/>
        <v>1.7246384527620141E-4</v>
      </c>
      <c r="O21" s="296">
        <f t="shared" si="12"/>
        <v>7.2705319219170121E-4</v>
      </c>
      <c r="P21" s="296">
        <f t="shared" si="12"/>
        <v>1.1231884429774991E-3</v>
      </c>
      <c r="Q21" s="296">
        <f t="shared" si="12"/>
        <v>1.4202898827014635E-3</v>
      </c>
      <c r="R21" s="296">
        <f t="shared" si="12"/>
        <v>1.6513687812332084E-3</v>
      </c>
      <c r="S21" s="296">
        <f t="shared" si="12"/>
        <v>1.8362319006688607E-3</v>
      </c>
      <c r="T21" s="296">
        <f t="shared" si="12"/>
        <v>1.9874835442469608E-3</v>
      </c>
      <c r="U21" s="296">
        <f t="shared" si="12"/>
        <v>2.1135265808394335E-3</v>
      </c>
      <c r="V21" s="296">
        <f t="shared" si="12"/>
        <v>2.2201783812300277E-3</v>
      </c>
      <c r="W21" s="296">
        <f t="shared" si="12"/>
        <v>2.3115942102799538E-3</v>
      </c>
      <c r="X21" s="296">
        <f t="shared" si="12"/>
        <v>2.3908212622305203E-3</v>
      </c>
      <c r="Y21" s="296">
        <f t="shared" si="12"/>
        <v>2.4601449327689975E-3</v>
      </c>
      <c r="Z21" s="296">
        <f t="shared" si="12"/>
        <v>2.5213128774251191E-3</v>
      </c>
      <c r="AA21" s="296">
        <f t="shared" si="12"/>
        <v>2.5756843838359742E-3</v>
      </c>
      <c r="AB21" s="296">
        <f t="shared" si="12"/>
        <v>2.6243325738223044E-3</v>
      </c>
      <c r="AC21" s="296">
        <f t="shared" si="12"/>
        <v>2.6681159448421203E-3</v>
      </c>
      <c r="AD21" s="296">
        <f t="shared" si="12"/>
        <v>2.7077294710291253E-3</v>
      </c>
      <c r="AE21" s="296">
        <f t="shared" si="12"/>
        <v>2.7437417675843811E-3</v>
      </c>
      <c r="AF21" s="296">
        <f t="shared" si="12"/>
        <v>2.776622560109332E-3</v>
      </c>
      <c r="AG21" s="296">
        <f t="shared" si="12"/>
        <v>2.8067632866056124E-3</v>
      </c>
      <c r="AH21" s="296">
        <f t="shared" si="12"/>
        <v>2.8344927549949265E-3</v>
      </c>
      <c r="AI21" s="296">
        <f t="shared" si="12"/>
        <v>2.8600891873651261E-3</v>
      </c>
      <c r="AJ21" s="296">
        <f t="shared" si="12"/>
        <v>2.8837895877171765E-3</v>
      </c>
      <c r="AK21" s="296">
        <f t="shared" si="12"/>
        <v>2.9057971023377779E-3</v>
      </c>
      <c r="AL21" s="296">
        <f t="shared" si="12"/>
        <v>2.9262868573362829E-3</v>
      </c>
      <c r="AM21" s="296">
        <f t="shared" si="12"/>
        <v>2.9454106286742332E-3</v>
      </c>
      <c r="AN21" s="296">
        <f t="shared" si="12"/>
        <v>2.9633006083182169E-3</v>
      </c>
      <c r="AO21" s="296">
        <f t="shared" si="12"/>
        <v>2.980072464239065E-3</v>
      </c>
      <c r="AP21" s="296">
        <f t="shared" si="12"/>
        <v>2.9958278440475657E-3</v>
      </c>
      <c r="AQ21" s="296">
        <f t="shared" si="12"/>
        <v>3.0106564368121065E-3</v>
      </c>
      <c r="AR21" s="296">
        <f t="shared" si="12"/>
        <v>3.02463768142187E-3</v>
      </c>
      <c r="AS21" s="296">
        <f t="shared" si="12"/>
        <v>3.0378421902228295E-3</v>
      </c>
      <c r="AT21" s="296">
        <f t="shared" si="12"/>
        <v>3.0503329417938519E-3</v>
      </c>
      <c r="AU21" s="296">
        <f t="shared" si="12"/>
        <v>3.0621662853897364E-3</v>
      </c>
      <c r="AV21" s="296">
        <f t="shared" si="12"/>
        <v>3.0733927908545536E-3</v>
      </c>
      <c r="AW21" s="296">
        <f t="shared" si="12"/>
        <v>3.0840579710479823E-3</v>
      </c>
      <c r="AX21" s="282">
        <f t="shared" si="12"/>
        <v>3.094202898550725E-3</v>
      </c>
      <c r="AY21" s="296">
        <f t="shared" si="12"/>
        <v>3.1758582733949479E-3</v>
      </c>
      <c r="AZ21" s="296">
        <f t="shared" si="12"/>
        <v>3.2301567239635997E-3</v>
      </c>
      <c r="BA21" s="296">
        <f t="shared" si="12"/>
        <v>3.2688737330681065E-3</v>
      </c>
      <c r="BB21" s="296">
        <f t="shared" si="12"/>
        <v>3.2978746065181891E-3</v>
      </c>
      <c r="BC21" s="296">
        <f t="shared" si="12"/>
        <v>3.3204090216076968E-3</v>
      </c>
      <c r="BD21" s="296">
        <f t="shared" si="12"/>
        <v>3.3384228251409544E-3</v>
      </c>
      <c r="BE21" s="296">
        <f t="shared" si="12"/>
        <v>3.3531523243717277E-3</v>
      </c>
      <c r="BF21" s="296">
        <f t="shared" si="12"/>
        <v>3.3654206785697404E-3</v>
      </c>
      <c r="BG21" s="296">
        <f t="shared" si="12"/>
        <v>3.3757971741675574E-3</v>
      </c>
      <c r="BH21" s="282">
        <f t="shared" si="12"/>
        <v>3.3846880907372401E-3</v>
      </c>
      <c r="BI21" s="294" t="s">
        <v>170</v>
      </c>
      <c r="BJ21" s="288"/>
      <c r="BK21" s="288"/>
    </row>
    <row r="22" spans="1:69" ht="20.100000000000001" customHeight="1">
      <c r="A22" s="171"/>
      <c r="B22" s="229" t="s">
        <v>136</v>
      </c>
      <c r="C22" s="294" t="s">
        <v>171</v>
      </c>
      <c r="D22" s="358" t="s">
        <v>154</v>
      </c>
      <c r="E22" s="359"/>
      <c r="F22" s="287" t="s">
        <v>0</v>
      </c>
      <c r="G22" s="192"/>
      <c r="H22" s="288">
        <f>(k_s+(1-k_s)/(1+(H20/e_yd)^R_s)^(1/R_s))*E_s</f>
        <v>35654.874426140967</v>
      </c>
      <c r="I22" s="293">
        <f t="shared" ref="I22:AM22" si="13">(k_s+(1-k_s)/(1+(I20/e_yd)^R_s)^(1/R_s))*E_s</f>
        <v>26521.739130434784</v>
      </c>
      <c r="J22" s="288">
        <f t="shared" si="13"/>
        <v>41439.60799737311</v>
      </c>
      <c r="K22" s="288">
        <f t="shared" si="13"/>
        <v>95714.294484667495</v>
      </c>
      <c r="L22" s="288">
        <f t="shared" si="13"/>
        <v>197545.18048535319</v>
      </c>
      <c r="M22" s="288">
        <f t="shared" si="13"/>
        <v>199999.99999958684</v>
      </c>
      <c r="N22" s="288">
        <f t="shared" si="13"/>
        <v>200000</v>
      </c>
      <c r="O22" s="288">
        <f t="shared" si="13"/>
        <v>199999.9999970879</v>
      </c>
      <c r="P22" s="288">
        <f t="shared" si="13"/>
        <v>199999.98254449799</v>
      </c>
      <c r="Q22" s="288">
        <f t="shared" si="13"/>
        <v>199998.09289618631</v>
      </c>
      <c r="R22" s="288">
        <f t="shared" si="13"/>
        <v>199961.20015153734</v>
      </c>
      <c r="S22" s="288">
        <f t="shared" si="13"/>
        <v>199681.03092981287</v>
      </c>
      <c r="T22" s="288">
        <f t="shared" si="13"/>
        <v>198543.12304871634</v>
      </c>
      <c r="U22" s="288">
        <f t="shared" si="13"/>
        <v>195767.12130907684</v>
      </c>
      <c r="V22" s="288">
        <f t="shared" si="13"/>
        <v>191405.84459035311</v>
      </c>
      <c r="W22" s="288">
        <f t="shared" si="13"/>
        <v>186403.47954194996</v>
      </c>
      <c r="X22" s="288">
        <f t="shared" si="13"/>
        <v>181564.7333624289</v>
      </c>
      <c r="Y22" s="288">
        <f t="shared" si="13"/>
        <v>177216.20893541715</v>
      </c>
      <c r="Z22" s="288">
        <f t="shared" si="13"/>
        <v>173409.51280536136</v>
      </c>
      <c r="AA22" s="288">
        <f t="shared" si="13"/>
        <v>170097.45941084271</v>
      </c>
      <c r="AB22" s="288">
        <f t="shared" si="13"/>
        <v>167209.94979836105</v>
      </c>
      <c r="AC22" s="288">
        <f t="shared" si="13"/>
        <v>164679.60052642546</v>
      </c>
      <c r="AD22" s="288">
        <f t="shared" si="13"/>
        <v>162448.55386972788</v>
      </c>
      <c r="AE22" s="288">
        <f t="shared" si="13"/>
        <v>160469.02211445922</v>
      </c>
      <c r="AF22" s="288">
        <f t="shared" si="13"/>
        <v>158702.0223360497</v>
      </c>
      <c r="AG22" s="288">
        <f t="shared" si="13"/>
        <v>157115.79821316359</v>
      </c>
      <c r="AH22" s="288">
        <f t="shared" si="13"/>
        <v>155684.38839234918</v>
      </c>
      <c r="AI22" s="288">
        <f t="shared" si="13"/>
        <v>154386.44643735964</v>
      </c>
      <c r="AJ22" s="288">
        <f t="shared" si="13"/>
        <v>153204.30314663076</v>
      </c>
      <c r="AK22" s="288">
        <f t="shared" si="13"/>
        <v>152123.23158928959</v>
      </c>
      <c r="AL22" s="288">
        <f t="shared" si="13"/>
        <v>151130.87288538399</v>
      </c>
      <c r="AM22" s="288">
        <f t="shared" si="13"/>
        <v>150216.78669837804</v>
      </c>
      <c r="AN22" s="288">
        <f t="shared" ref="AN22:BH22" si="14">(k_s+(1-k_s)/(1+(AN20/e_yd)^R_s)^(1/R_s))*E_s</f>
        <v>149372.09773901675</v>
      </c>
      <c r="AO22" s="288">
        <f t="shared" si="14"/>
        <v>148589.21612910277</v>
      </c>
      <c r="AP22" s="288">
        <f t="shared" si="14"/>
        <v>147861.61474992117</v>
      </c>
      <c r="AQ22" s="288">
        <f t="shared" si="14"/>
        <v>147183.65076985696</v>
      </c>
      <c r="AR22" s="288">
        <f t="shared" si="14"/>
        <v>146550.42162523247</v>
      </c>
      <c r="AS22" s="288">
        <f t="shared" si="14"/>
        <v>145957.64804096174</v>
      </c>
      <c r="AT22" s="288">
        <f t="shared" si="14"/>
        <v>145401.57841181566</v>
      </c>
      <c r="AU22" s="288">
        <f t="shared" si="14"/>
        <v>144878.91016822477</v>
      </c>
      <c r="AV22" s="288">
        <f t="shared" si="14"/>
        <v>144386.72473368357</v>
      </c>
      <c r="AW22" s="288">
        <f t="shared" si="14"/>
        <v>143922.4334263489</v>
      </c>
      <c r="AX22" s="290">
        <f t="shared" si="14"/>
        <v>143483.73222602758</v>
      </c>
      <c r="AY22" s="288">
        <f t="shared" si="14"/>
        <v>140053.96075036837</v>
      </c>
      <c r="AZ22" s="288">
        <f t="shared" si="14"/>
        <v>137868.71047475652</v>
      </c>
      <c r="BA22" s="288">
        <f t="shared" si="14"/>
        <v>136354.70175832874</v>
      </c>
      <c r="BB22" s="288">
        <f t="shared" si="14"/>
        <v>135243.85315471014</v>
      </c>
      <c r="BC22" s="288">
        <f t="shared" si="14"/>
        <v>134394.05842317143</v>
      </c>
      <c r="BD22" s="288">
        <f t="shared" si="14"/>
        <v>133722.97307208311</v>
      </c>
      <c r="BE22" s="288">
        <f t="shared" si="14"/>
        <v>133179.58876087156</v>
      </c>
      <c r="BF22" s="288">
        <f t="shared" si="14"/>
        <v>132730.62244669453</v>
      </c>
      <c r="BG22" s="288">
        <f t="shared" si="14"/>
        <v>132353.43257262907</v>
      </c>
      <c r="BH22" s="290">
        <f t="shared" si="14"/>
        <v>132032.08095671583</v>
      </c>
      <c r="BI22" s="294" t="s">
        <v>171</v>
      </c>
      <c r="BJ22" s="171"/>
      <c r="BK22" s="251"/>
      <c r="BL22" s="12"/>
      <c r="BM22" s="12"/>
      <c r="BN22" s="12"/>
      <c r="BO22" s="12"/>
      <c r="BQ22" s="13"/>
    </row>
    <row r="23" spans="1:69" ht="20.100000000000001" customHeight="1">
      <c r="A23" s="171"/>
      <c r="B23" s="229" t="s">
        <v>146</v>
      </c>
      <c r="C23" s="294" t="s">
        <v>172</v>
      </c>
      <c r="D23" s="297" t="s">
        <v>155</v>
      </c>
      <c r="E23" s="298"/>
      <c r="F23" s="287" t="s">
        <v>0</v>
      </c>
      <c r="G23" s="296"/>
      <c r="H23" s="249">
        <f t="shared" ref="H23:AM23" si="15">f_cd*(1- IF(H21&lt;e_c2,(1-H21/e_c2)^2,0))</f>
        <v>25</v>
      </c>
      <c r="I23" s="299">
        <f t="shared" si="15"/>
        <v>25</v>
      </c>
      <c r="J23" s="249">
        <f t="shared" si="15"/>
        <v>25</v>
      </c>
      <c r="K23" s="249">
        <f t="shared" si="15"/>
        <v>25</v>
      </c>
      <c r="L23" s="249">
        <f t="shared" si="15"/>
        <v>25</v>
      </c>
      <c r="M23" s="249">
        <f t="shared" si="15"/>
        <v>13.767785678251492</v>
      </c>
      <c r="N23" s="249">
        <f t="shared" si="15"/>
        <v>4.1256975198584538</v>
      </c>
      <c r="O23" s="249">
        <f t="shared" si="15"/>
        <v>14.872540153066637</v>
      </c>
      <c r="P23" s="249">
        <f t="shared" si="15"/>
        <v>20.195009334198609</v>
      </c>
      <c r="Q23" s="249">
        <f t="shared" si="15"/>
        <v>22.899601124385732</v>
      </c>
      <c r="R23" s="249">
        <f t="shared" si="15"/>
        <v>24.240351708132383</v>
      </c>
      <c r="S23" s="249">
        <f t="shared" si="15"/>
        <v>24.832375060259164</v>
      </c>
      <c r="T23" s="249">
        <f t="shared" si="15"/>
        <v>24.99902086459614</v>
      </c>
      <c r="U23" s="249">
        <f t="shared" si="15"/>
        <v>25</v>
      </c>
      <c r="V23" s="249">
        <f t="shared" si="15"/>
        <v>25</v>
      </c>
      <c r="W23" s="249">
        <f t="shared" si="15"/>
        <v>25</v>
      </c>
      <c r="X23" s="249">
        <f t="shared" si="15"/>
        <v>25</v>
      </c>
      <c r="Y23" s="249">
        <f t="shared" si="15"/>
        <v>25</v>
      </c>
      <c r="Z23" s="249">
        <f t="shared" si="15"/>
        <v>25</v>
      </c>
      <c r="AA23" s="249">
        <f t="shared" si="15"/>
        <v>25</v>
      </c>
      <c r="AB23" s="249">
        <f t="shared" si="15"/>
        <v>25</v>
      </c>
      <c r="AC23" s="249">
        <f t="shared" si="15"/>
        <v>25</v>
      </c>
      <c r="AD23" s="249">
        <f t="shared" si="15"/>
        <v>25</v>
      </c>
      <c r="AE23" s="249">
        <f t="shared" si="15"/>
        <v>25</v>
      </c>
      <c r="AF23" s="249">
        <f t="shared" si="15"/>
        <v>25</v>
      </c>
      <c r="AG23" s="249">
        <f t="shared" si="15"/>
        <v>25</v>
      </c>
      <c r="AH23" s="249">
        <f t="shared" si="15"/>
        <v>25</v>
      </c>
      <c r="AI23" s="249">
        <f t="shared" si="15"/>
        <v>25</v>
      </c>
      <c r="AJ23" s="249">
        <f t="shared" si="15"/>
        <v>25</v>
      </c>
      <c r="AK23" s="249">
        <f t="shared" si="15"/>
        <v>25</v>
      </c>
      <c r="AL23" s="249">
        <f t="shared" si="15"/>
        <v>25</v>
      </c>
      <c r="AM23" s="249">
        <f t="shared" si="15"/>
        <v>25</v>
      </c>
      <c r="AN23" s="249">
        <f t="shared" ref="AN23:BH23" si="16">f_cd*(1- IF(AN21&lt;e_c2,(1-AN21/e_c2)^2,0))</f>
        <v>25</v>
      </c>
      <c r="AO23" s="249">
        <f t="shared" si="16"/>
        <v>25</v>
      </c>
      <c r="AP23" s="249">
        <f t="shared" si="16"/>
        <v>25</v>
      </c>
      <c r="AQ23" s="249">
        <f t="shared" si="16"/>
        <v>25</v>
      </c>
      <c r="AR23" s="249">
        <f t="shared" si="16"/>
        <v>25</v>
      </c>
      <c r="AS23" s="249">
        <f t="shared" si="16"/>
        <v>25</v>
      </c>
      <c r="AT23" s="249">
        <f t="shared" si="16"/>
        <v>25</v>
      </c>
      <c r="AU23" s="249">
        <f t="shared" si="16"/>
        <v>25</v>
      </c>
      <c r="AV23" s="249">
        <f t="shared" si="16"/>
        <v>25</v>
      </c>
      <c r="AW23" s="249">
        <f t="shared" si="16"/>
        <v>25</v>
      </c>
      <c r="AX23" s="300">
        <f t="shared" si="16"/>
        <v>25</v>
      </c>
      <c r="AY23" s="249">
        <f t="shared" si="16"/>
        <v>25</v>
      </c>
      <c r="AZ23" s="249">
        <f t="shared" si="16"/>
        <v>25</v>
      </c>
      <c r="BA23" s="249">
        <f t="shared" si="16"/>
        <v>25</v>
      </c>
      <c r="BB23" s="249">
        <f t="shared" si="16"/>
        <v>25</v>
      </c>
      <c r="BC23" s="249">
        <f t="shared" si="16"/>
        <v>25</v>
      </c>
      <c r="BD23" s="249">
        <f t="shared" si="16"/>
        <v>25</v>
      </c>
      <c r="BE23" s="249">
        <f t="shared" si="16"/>
        <v>25</v>
      </c>
      <c r="BF23" s="249">
        <f t="shared" si="16"/>
        <v>25</v>
      </c>
      <c r="BG23" s="249">
        <f t="shared" si="16"/>
        <v>25</v>
      </c>
      <c r="BH23" s="300">
        <f t="shared" si="16"/>
        <v>25</v>
      </c>
      <c r="BI23" s="294" t="s">
        <v>172</v>
      </c>
      <c r="BJ23" s="171"/>
      <c r="BK23" s="251"/>
      <c r="BL23" s="12"/>
      <c r="BM23" s="12"/>
      <c r="BN23" s="12"/>
      <c r="BO23" s="12"/>
      <c r="BQ23" s="13"/>
    </row>
    <row r="24" spans="1:69" ht="20.100000000000001" customHeight="1">
      <c r="A24" s="171"/>
      <c r="B24" s="229" t="s">
        <v>147</v>
      </c>
      <c r="C24" s="294" t="s">
        <v>173</v>
      </c>
      <c r="D24" s="301" t="s">
        <v>156</v>
      </c>
      <c r="E24" s="302"/>
      <c r="F24" s="287" t="s">
        <v>0</v>
      </c>
      <c r="G24" s="192"/>
      <c r="H24" s="288">
        <f>H22*H20+IF(H20&gt;0,-H23,0)</f>
        <v>-574.04347826086951</v>
      </c>
      <c r="I24" s="293">
        <f t="shared" ref="I24:BH24" si="17">I22*I20+IF(I20&gt;0,-I23,0)</f>
        <v>-663.04347826086962</v>
      </c>
      <c r="J24" s="288">
        <f t="shared" si="17"/>
        <v>519.42026842166945</v>
      </c>
      <c r="K24" s="288">
        <f t="shared" si="17"/>
        <v>436.23187631614019</v>
      </c>
      <c r="L24" s="288">
        <f t="shared" si="17"/>
        <v>379.15639944016038</v>
      </c>
      <c r="M24" s="288">
        <f t="shared" si="17"/>
        <v>118.11624751011581</v>
      </c>
      <c r="N24" s="288">
        <f t="shared" si="17"/>
        <v>30.367071535381825</v>
      </c>
      <c r="O24" s="288">
        <f t="shared" si="17"/>
        <v>130.53809828315636</v>
      </c>
      <c r="P24" s="288">
        <f t="shared" si="17"/>
        <v>204.44265965548308</v>
      </c>
      <c r="Q24" s="288">
        <f t="shared" si="17"/>
        <v>261.15566677565511</v>
      </c>
      <c r="R24" s="288">
        <f t="shared" si="17"/>
        <v>305.96933168004148</v>
      </c>
      <c r="S24" s="288">
        <f t="shared" si="17"/>
        <v>341.82830389150871</v>
      </c>
      <c r="T24" s="288">
        <f t="shared" si="17"/>
        <v>369.60216901812703</v>
      </c>
      <c r="U24" s="288">
        <f t="shared" si="17"/>
        <v>388.75901454115177</v>
      </c>
      <c r="V24" s="288">
        <f t="shared" si="17"/>
        <v>399.95511820057641</v>
      </c>
      <c r="W24" s="288">
        <f t="shared" si="17"/>
        <v>405.88920408520931</v>
      </c>
      <c r="X24" s="288">
        <f t="shared" si="17"/>
        <v>409.0888249941101</v>
      </c>
      <c r="Y24" s="288">
        <f t="shared" si="17"/>
        <v>410.97755841699842</v>
      </c>
      <c r="Z24" s="288">
        <f t="shared" si="17"/>
        <v>412.21963770417369</v>
      </c>
      <c r="AA24" s="288">
        <f t="shared" si="17"/>
        <v>413.11736993468105</v>
      </c>
      <c r="AB24" s="288">
        <f t="shared" si="17"/>
        <v>413.81451792303113</v>
      </c>
      <c r="AC24" s="288">
        <f t="shared" si="17"/>
        <v>414.38426795478659</v>
      </c>
      <c r="AD24" s="288">
        <f t="shared" si="17"/>
        <v>414.86673683912466</v>
      </c>
      <c r="AE24" s="288">
        <f t="shared" si="17"/>
        <v>415.28555837886347</v>
      </c>
      <c r="AF24" s="288">
        <f t="shared" si="17"/>
        <v>415.6556155532507</v>
      </c>
      <c r="AG24" s="288">
        <f t="shared" si="17"/>
        <v>415.98685417044328</v>
      </c>
      <c r="AH24" s="288">
        <f t="shared" si="17"/>
        <v>416.28627096393001</v>
      </c>
      <c r="AI24" s="288">
        <f t="shared" si="17"/>
        <v>416.55900613121753</v>
      </c>
      <c r="AJ24" s="288">
        <f t="shared" si="17"/>
        <v>416.80897420771964</v>
      </c>
      <c r="AK24" s="288">
        <f t="shared" si="17"/>
        <v>417.03924555041641</v>
      </c>
      <c r="AL24" s="288">
        <f t="shared" si="17"/>
        <v>417.25228706225954</v>
      </c>
      <c r="AM24" s="288">
        <f t="shared" si="17"/>
        <v>417.45012014669288</v>
      </c>
      <c r="AN24" s="288">
        <f t="shared" si="17"/>
        <v>417.63442809579647</v>
      </c>
      <c r="AO24" s="288">
        <f t="shared" si="17"/>
        <v>417.80663146920631</v>
      </c>
      <c r="AP24" s="288">
        <f t="shared" si="17"/>
        <v>417.96794253364806</v>
      </c>
      <c r="AQ24" s="288">
        <f t="shared" si="17"/>
        <v>418.11940558377501</v>
      </c>
      <c r="AR24" s="288">
        <f t="shared" si="17"/>
        <v>418.26192747594064</v>
      </c>
      <c r="AS24" s="288">
        <f t="shared" si="17"/>
        <v>418.39630120452807</v>
      </c>
      <c r="AT24" s="288">
        <f t="shared" si="17"/>
        <v>418.52322441838311</v>
      </c>
      <c r="AU24" s="288">
        <f t="shared" si="17"/>
        <v>418.64331418114614</v>
      </c>
      <c r="AV24" s="288">
        <f t="shared" si="17"/>
        <v>418.75711889160397</v>
      </c>
      <c r="AW24" s="288">
        <f t="shared" si="17"/>
        <v>418.86512802115391</v>
      </c>
      <c r="AX24" s="290">
        <f t="shared" si="17"/>
        <v>418.9677801486506</v>
      </c>
      <c r="AY24" s="288">
        <f t="shared" si="17"/>
        <v>419.7915299707887</v>
      </c>
      <c r="AZ24" s="288">
        <f t="shared" si="17"/>
        <v>420.33754216422551</v>
      </c>
      <c r="BA24" s="288">
        <f t="shared" si="17"/>
        <v>420.72630295813639</v>
      </c>
      <c r="BB24" s="288">
        <f t="shared" si="17"/>
        <v>421.01726900659344</v>
      </c>
      <c r="BC24" s="288">
        <f t="shared" si="17"/>
        <v>421.24324403877029</v>
      </c>
      <c r="BD24" s="288">
        <f t="shared" si="17"/>
        <v>421.42382554955151</v>
      </c>
      <c r="BE24" s="288">
        <f t="shared" si="17"/>
        <v>421.57144761238726</v>
      </c>
      <c r="BF24" s="288">
        <f t="shared" si="17"/>
        <v>421.69438146153868</v>
      </c>
      <c r="BG24" s="288">
        <f t="shared" si="17"/>
        <v>421.79834367005753</v>
      </c>
      <c r="BH24" s="290">
        <f t="shared" si="17"/>
        <v>421.88741200945123</v>
      </c>
      <c r="BI24" s="294" t="s">
        <v>173</v>
      </c>
      <c r="BJ24" s="171"/>
      <c r="BK24" s="251"/>
      <c r="BL24" s="12"/>
      <c r="BM24" s="12"/>
      <c r="BN24" s="12"/>
      <c r="BO24" s="12"/>
      <c r="BQ24" s="13"/>
    </row>
    <row r="25" spans="1:69" ht="20.100000000000001" customHeight="1">
      <c r="A25" s="171"/>
      <c r="B25" s="229" t="s">
        <v>104</v>
      </c>
      <c r="C25" s="294" t="s">
        <v>174</v>
      </c>
      <c r="D25" s="278" t="s">
        <v>157</v>
      </c>
      <c r="E25" s="191"/>
      <c r="F25" s="287" t="s">
        <v>5</v>
      </c>
      <c r="G25" s="303"/>
      <c r="H25" s="288">
        <f t="shared" ref="H25:AM25" si="18">H24*A_sc</f>
        <v>-389536.7272154236</v>
      </c>
      <c r="I25" s="293">
        <f t="shared" si="18"/>
        <v>-449930.70438803389</v>
      </c>
      <c r="J25" s="288">
        <f t="shared" si="18"/>
        <v>352470.29027021752</v>
      </c>
      <c r="K25" s="288">
        <f t="shared" si="18"/>
        <v>296019.97730563907</v>
      </c>
      <c r="L25" s="288">
        <f t="shared" si="18"/>
        <v>257289.47115323725</v>
      </c>
      <c r="M25" s="288">
        <f t="shared" si="18"/>
        <v>80151.797256632679</v>
      </c>
      <c r="N25" s="288">
        <f t="shared" si="18"/>
        <v>20606.609270863712</v>
      </c>
      <c r="O25" s="288">
        <f t="shared" si="18"/>
        <v>88581.066605268425</v>
      </c>
      <c r="P25" s="288">
        <f t="shared" si="18"/>
        <v>138731.52045326919</v>
      </c>
      <c r="Q25" s="288">
        <f t="shared" si="18"/>
        <v>177216.06042412028</v>
      </c>
      <c r="R25" s="288">
        <f t="shared" si="18"/>
        <v>207625.89700003614</v>
      </c>
      <c r="S25" s="288">
        <f t="shared" si="18"/>
        <v>231959.22227163857</v>
      </c>
      <c r="T25" s="288">
        <f t="shared" si="18"/>
        <v>250806.12313065139</v>
      </c>
      <c r="U25" s="288">
        <f t="shared" si="18"/>
        <v>263805.65224544663</v>
      </c>
      <c r="V25" s="288">
        <f t="shared" si="18"/>
        <v>271403.1491985867</v>
      </c>
      <c r="W25" s="288">
        <f t="shared" si="18"/>
        <v>275429.92501270841</v>
      </c>
      <c r="X25" s="288">
        <f t="shared" si="18"/>
        <v>277601.13660971017</v>
      </c>
      <c r="Y25" s="288">
        <f t="shared" si="18"/>
        <v>278882.80091563222</v>
      </c>
      <c r="Z25" s="288">
        <f t="shared" si="18"/>
        <v>279725.65606300568</v>
      </c>
      <c r="AA25" s="288">
        <f t="shared" si="18"/>
        <v>280334.84280274023</v>
      </c>
      <c r="AB25" s="288">
        <f t="shared" si="18"/>
        <v>280807.916282452</v>
      </c>
      <c r="AC25" s="288">
        <f t="shared" si="18"/>
        <v>281194.53954550746</v>
      </c>
      <c r="AD25" s="288">
        <f t="shared" si="18"/>
        <v>281521.93521727383</v>
      </c>
      <c r="AE25" s="288">
        <f t="shared" si="18"/>
        <v>281806.1408185141</v>
      </c>
      <c r="AF25" s="288">
        <f t="shared" si="18"/>
        <v>282057.25570101413</v>
      </c>
      <c r="AG25" s="288">
        <f t="shared" si="18"/>
        <v>282282.02893118729</v>
      </c>
      <c r="AH25" s="288">
        <f t="shared" si="18"/>
        <v>282485.20838052366</v>
      </c>
      <c r="AI25" s="288">
        <f t="shared" si="18"/>
        <v>282670.28210487566</v>
      </c>
      <c r="AJ25" s="288">
        <f t="shared" si="18"/>
        <v>282839.90644539421</v>
      </c>
      <c r="AK25" s="288">
        <f t="shared" si="18"/>
        <v>282996.1648972407</v>
      </c>
      <c r="AL25" s="288">
        <f t="shared" si="18"/>
        <v>283140.73146132013</v>
      </c>
      <c r="AM25" s="288">
        <f t="shared" si="18"/>
        <v>283274.97782969376</v>
      </c>
      <c r="AN25" s="288">
        <f t="shared" ref="AN25:BH25" si="19">AN24*A_sc</f>
        <v>283400.04625745665</v>
      </c>
      <c r="AO25" s="288">
        <f t="shared" si="19"/>
        <v>283516.90071366739</v>
      </c>
      <c r="AP25" s="288">
        <f t="shared" si="19"/>
        <v>283626.36382314592</v>
      </c>
      <c r="AQ25" s="288">
        <f t="shared" si="19"/>
        <v>283729.14422754885</v>
      </c>
      <c r="AR25" s="288">
        <f t="shared" si="19"/>
        <v>283825.85730509995</v>
      </c>
      <c r="AS25" s="288">
        <f t="shared" si="19"/>
        <v>283917.0411691101</v>
      </c>
      <c r="AT25" s="288">
        <f t="shared" si="19"/>
        <v>284003.16923293303</v>
      </c>
      <c r="AU25" s="288">
        <f t="shared" si="19"/>
        <v>284084.66022609</v>
      </c>
      <c r="AV25" s="288">
        <f t="shared" si="19"/>
        <v>284161.88628323073</v>
      </c>
      <c r="AW25" s="288">
        <f t="shared" si="19"/>
        <v>284235.17955182033</v>
      </c>
      <c r="AX25" s="290">
        <f t="shared" si="19"/>
        <v>284304.83764445805</v>
      </c>
      <c r="AY25" s="288">
        <f t="shared" si="19"/>
        <v>284863.82110461703</v>
      </c>
      <c r="AZ25" s="288">
        <f t="shared" si="19"/>
        <v>285234.33625008207</v>
      </c>
      <c r="BA25" s="288">
        <f t="shared" si="19"/>
        <v>285498.1431097794</v>
      </c>
      <c r="BB25" s="288">
        <f t="shared" si="19"/>
        <v>285695.58801863913</v>
      </c>
      <c r="BC25" s="288">
        <f t="shared" si="19"/>
        <v>285848.93106285116</v>
      </c>
      <c r="BD25" s="288">
        <f t="shared" si="19"/>
        <v>285971.47078914236</v>
      </c>
      <c r="BE25" s="288">
        <f t="shared" si="19"/>
        <v>286071.64476097468</v>
      </c>
      <c r="BF25" s="288">
        <f t="shared" si="19"/>
        <v>286155.06570568692</v>
      </c>
      <c r="BG25" s="288">
        <f t="shared" si="19"/>
        <v>286225.61279836221</v>
      </c>
      <c r="BH25" s="290">
        <f t="shared" si="19"/>
        <v>286286.05314955488</v>
      </c>
      <c r="BI25" s="294" t="s">
        <v>174</v>
      </c>
      <c r="BJ25" s="171"/>
      <c r="BK25" s="241"/>
      <c r="BL25" s="9"/>
      <c r="BM25" s="9"/>
      <c r="BN25" s="9"/>
      <c r="BO25" s="9"/>
      <c r="BQ25" s="11"/>
    </row>
    <row r="26" spans="1:69" ht="20.100000000000001" customHeight="1">
      <c r="A26" s="171"/>
      <c r="B26" s="229" t="s">
        <v>103</v>
      </c>
      <c r="C26" s="294" t="s">
        <v>175</v>
      </c>
      <c r="D26" s="295" t="s">
        <v>158</v>
      </c>
      <c r="E26" s="191"/>
      <c r="F26" s="287" t="s">
        <v>72</v>
      </c>
      <c r="G26" s="296"/>
      <c r="H26" s="296">
        <f t="shared" ref="H26:AM26" si="20">SIGN(e_cu2*(d_tl/H14-1))*IF(ABS(e_cu2*(d_tl/H14-1))&gt;e_ud, e_ud, ABS(e_cu2*(d_tl/H14-1)))</f>
        <v>-2.5000000000000001E-2</v>
      </c>
      <c r="I26" s="293">
        <f>SIGN(e_cu2*(d_tl/I14-1))*IF(ABS(e_cu2*(d_tl/I14-1))&gt;e_ud, e_ud, ABS(e_cu2*(d_tl/I14-1)))</f>
        <v>2.5000000000000001E-2</v>
      </c>
      <c r="J26" s="296">
        <f t="shared" si="20"/>
        <v>2.5000000000000001E-2</v>
      </c>
      <c r="K26" s="296">
        <f t="shared" si="20"/>
        <v>2.5000000000000001E-2</v>
      </c>
      <c r="L26" s="296">
        <f t="shared" si="20"/>
        <v>2.5000000000000001E-2</v>
      </c>
      <c r="M26" s="296">
        <f t="shared" si="20"/>
        <v>2.5000000000000001E-2</v>
      </c>
      <c r="N26" s="296">
        <f t="shared" si="20"/>
        <v>2.5000000000000001E-2</v>
      </c>
      <c r="O26" s="296">
        <f t="shared" si="20"/>
        <v>2.5000000000000001E-2</v>
      </c>
      <c r="P26" s="296">
        <f t="shared" si="20"/>
        <v>2.3833332905758762E-2</v>
      </c>
      <c r="Q26" s="296">
        <f t="shared" si="20"/>
        <v>2.0416666348933171E-2</v>
      </c>
      <c r="R26" s="296">
        <f t="shared" si="20"/>
        <v>1.7759259015818107E-2</v>
      </c>
      <c r="S26" s="296">
        <f t="shared" si="20"/>
        <v>1.5633333142308102E-2</v>
      </c>
      <c r="T26" s="296">
        <f t="shared" si="20"/>
        <v>1.3893939241159949E-2</v>
      </c>
      <c r="U26" s="296">
        <f t="shared" si="20"/>
        <v>1.244444432034651E-2</v>
      </c>
      <c r="V26" s="296">
        <f t="shared" si="20"/>
        <v>1.1217948615854683E-2</v>
      </c>
      <c r="W26" s="296">
        <f t="shared" si="20"/>
        <v>1.0166666581780535E-2</v>
      </c>
      <c r="X26" s="296">
        <f t="shared" si="20"/>
        <v>9.2555554843490161E-3</v>
      </c>
      <c r="Y26" s="296">
        <f t="shared" si="20"/>
        <v>8.4583332731565323E-3</v>
      </c>
      <c r="Z26" s="296">
        <f t="shared" si="20"/>
        <v>7.7549019096111284E-3</v>
      </c>
      <c r="AA26" s="296">
        <f t="shared" si="20"/>
        <v>7.1296295858862945E-3</v>
      </c>
      <c r="AB26" s="296">
        <f t="shared" si="20"/>
        <v>6.5701754010434998E-3</v>
      </c>
      <c r="AC26" s="296">
        <f t="shared" si="20"/>
        <v>6.0666666343156175E-3</v>
      </c>
      <c r="AD26" s="296">
        <f t="shared" si="20"/>
        <v>5.6111110831650575E-3</v>
      </c>
      <c r="AE26" s="296">
        <f t="shared" si="20"/>
        <v>5.1969696727796168E-3</v>
      </c>
      <c r="AF26" s="296">
        <f t="shared" si="20"/>
        <v>4.818840558742681E-3</v>
      </c>
      <c r="AG26" s="296">
        <f t="shared" si="20"/>
        <v>4.472222204035454E-3</v>
      </c>
      <c r="AH26" s="296">
        <f t="shared" si="20"/>
        <v>4.1533333175583446E-3</v>
      </c>
      <c r="AI26" s="296">
        <f t="shared" si="20"/>
        <v>3.8589743453010497E-3</v>
      </c>
      <c r="AJ26" s="296">
        <f t="shared" si="20"/>
        <v>3.586419741252473E-3</v>
      </c>
      <c r="AK26" s="296">
        <f t="shared" si="20"/>
        <v>3.3333333231155564E-3</v>
      </c>
      <c r="AL26" s="296">
        <f t="shared" si="20"/>
        <v>3.0977011406327472E-3</v>
      </c>
      <c r="AM26" s="296">
        <f t="shared" si="20"/>
        <v>2.8777777702463157E-3</v>
      </c>
      <c r="AN26" s="296">
        <f t="shared" ref="AN26:BH26" si="21">SIGN(e_cu2*(d_tl/AN14-1))*IF(ABS(e_cu2*(d_tl/AN14-1))&gt;e_ud, e_ud, ABS(e_cu2*(d_tl/AN14-1)))</f>
        <v>2.6720430043405074E-3</v>
      </c>
      <c r="AO26" s="296">
        <f t="shared" si="21"/>
        <v>2.4791666612507535E-3</v>
      </c>
      <c r="AP26" s="296">
        <f t="shared" si="21"/>
        <v>2.2979797934529981E-3</v>
      </c>
      <c r="AQ26" s="296">
        <f t="shared" si="21"/>
        <v>2.1274509766607773E-3</v>
      </c>
      <c r="AR26" s="296">
        <f t="shared" si="21"/>
        <v>1.9666666636484922E-3</v>
      </c>
      <c r="AS26" s="296">
        <f t="shared" si="21"/>
        <v>1.8148148124374596E-3</v>
      </c>
      <c r="AT26" s="296">
        <f t="shared" si="21"/>
        <v>1.6711711693707025E-3</v>
      </c>
      <c r="AU26" s="296">
        <f t="shared" si="21"/>
        <v>1.535087718018031E-3</v>
      </c>
      <c r="AV26" s="296">
        <f t="shared" si="21"/>
        <v>1.4059829051726372E-3</v>
      </c>
      <c r="AW26" s="296">
        <f t="shared" si="21"/>
        <v>1.2833333329482029E-3</v>
      </c>
      <c r="AX26" s="282">
        <f t="shared" si="21"/>
        <v>1.1666666666666663E-3</v>
      </c>
      <c r="AY26" s="296">
        <f t="shared" si="21"/>
        <v>2.2762985595809637E-4</v>
      </c>
      <c r="AZ26" s="296">
        <f t="shared" si="21"/>
        <v>-3.9680232558139607E-4</v>
      </c>
      <c r="BA26" s="296">
        <f t="shared" si="21"/>
        <v>-8.4204793028322476E-4</v>
      </c>
      <c r="BB26" s="296">
        <f t="shared" si="21"/>
        <v>-1.1755579749591729E-3</v>
      </c>
      <c r="BC26" s="296">
        <f t="shared" si="21"/>
        <v>-1.4347037484885128E-3</v>
      </c>
      <c r="BD26" s="296">
        <f t="shared" si="21"/>
        <v>-1.6418624891209751E-3</v>
      </c>
      <c r="BE26" s="296">
        <f t="shared" si="21"/>
        <v>-1.8112517302748667E-3</v>
      </c>
      <c r="BF26" s="296">
        <f t="shared" si="21"/>
        <v>-1.9523378035520118E-3</v>
      </c>
      <c r="BG26" s="296">
        <f t="shared" si="21"/>
        <v>-2.0716675029269112E-3</v>
      </c>
      <c r="BH26" s="282">
        <f t="shared" si="21"/>
        <v>-2.1739130434782613E-3</v>
      </c>
      <c r="BI26" s="294" t="s">
        <v>175</v>
      </c>
      <c r="BJ26" s="171"/>
      <c r="BK26" s="251"/>
      <c r="BL26" s="12"/>
      <c r="BM26" s="12"/>
      <c r="BN26" s="12"/>
      <c r="BO26" s="12"/>
      <c r="BQ26" s="13"/>
    </row>
    <row r="27" spans="1:69" ht="20.100000000000001" customHeight="1">
      <c r="A27" s="171"/>
      <c r="B27" s="229" t="s">
        <v>183</v>
      </c>
      <c r="C27" s="294" t="s">
        <v>185</v>
      </c>
      <c r="D27" s="358" t="s">
        <v>184</v>
      </c>
      <c r="E27" s="359"/>
      <c r="F27" s="287" t="s">
        <v>0</v>
      </c>
      <c r="G27" s="192"/>
      <c r="H27" s="288">
        <f t="shared" ref="H27:AM27" si="22">(k_s+(1-k_s)/(1+(H26/e_yd)^R_s)^(1/R_s))*E_s</f>
        <v>26521.739130434784</v>
      </c>
      <c r="I27" s="293">
        <f t="shared" si="22"/>
        <v>26521.739130434784</v>
      </c>
      <c r="J27" s="288">
        <f t="shared" si="22"/>
        <v>26521.739130434784</v>
      </c>
      <c r="K27" s="288">
        <f t="shared" si="22"/>
        <v>26521.739130434784</v>
      </c>
      <c r="L27" s="288">
        <f t="shared" si="22"/>
        <v>26521.739130434784</v>
      </c>
      <c r="M27" s="288">
        <f t="shared" si="22"/>
        <v>26521.739130434784</v>
      </c>
      <c r="N27" s="288">
        <f t="shared" si="22"/>
        <v>26521.739130434784</v>
      </c>
      <c r="O27" s="288">
        <f t="shared" si="22"/>
        <v>26521.739130434784</v>
      </c>
      <c r="P27" s="288">
        <f t="shared" si="22"/>
        <v>27330.49590227758</v>
      </c>
      <c r="Q27" s="288">
        <f t="shared" si="22"/>
        <v>30230.701290882011</v>
      </c>
      <c r="R27" s="288">
        <f t="shared" si="22"/>
        <v>33257.922973755449</v>
      </c>
      <c r="S27" s="288">
        <f t="shared" si="22"/>
        <v>36420.691896026969</v>
      </c>
      <c r="T27" s="288">
        <f t="shared" si="22"/>
        <v>39728.320463447366</v>
      </c>
      <c r="U27" s="288">
        <f t="shared" si="22"/>
        <v>43190.994119805626</v>
      </c>
      <c r="V27" s="288">
        <f t="shared" si="22"/>
        <v>46819.876111493497</v>
      </c>
      <c r="W27" s="288">
        <f t="shared" si="22"/>
        <v>50627.227709136743</v>
      </c>
      <c r="X27" s="288">
        <f t="shared" si="22"/>
        <v>54626.546614010731</v>
      </c>
      <c r="Y27" s="288">
        <f t="shared" si="22"/>
        <v>58832.726841312411</v>
      </c>
      <c r="Z27" s="288">
        <f t="shared" si="22"/>
        <v>63262.244071556051</v>
      </c>
      <c r="AA27" s="288">
        <f t="shared" si="22"/>
        <v>67933.371332155541</v>
      </c>
      <c r="AB27" s="288">
        <f t="shared" si="22"/>
        <v>72866.430961669641</v>
      </c>
      <c r="AC27" s="288">
        <f t="shared" si="22"/>
        <v>78084.090182136672</v>
      </c>
      <c r="AD27" s="288">
        <f t="shared" si="22"/>
        <v>83611.709342239716</v>
      </c>
      <c r="AE27" s="288">
        <f t="shared" si="22"/>
        <v>89477.754097475132</v>
      </c>
      <c r="AF27" s="288">
        <f t="shared" si="22"/>
        <v>95714.285564826088</v>
      </c>
      <c r="AG27" s="288">
        <f t="shared" si="22"/>
        <v>102357.54580462906</v>
      </c>
      <c r="AH27" s="288">
        <f t="shared" si="22"/>
        <v>109448.65906262871</v>
      </c>
      <c r="AI27" s="288">
        <f t="shared" si="22"/>
        <v>117034.46753563023</v>
      </c>
      <c r="AJ27" s="288">
        <f t="shared" si="22"/>
        <v>125168.49173654261</v>
      </c>
      <c r="AK27" s="288">
        <f t="shared" si="22"/>
        <v>133911.84349857329</v>
      </c>
      <c r="AL27" s="288">
        <f t="shared" si="22"/>
        <v>143333.1165132843</v>
      </c>
      <c r="AM27" s="288">
        <f t="shared" si="22"/>
        <v>153502.39368132551</v>
      </c>
      <c r="AN27" s="288">
        <f t="shared" ref="AN27:BH27" si="23">(k_s+(1-k_s)/(1+(AN26/e_yd)^R_s)^(1/R_s))*E_s</f>
        <v>164455.93188653188</v>
      </c>
      <c r="AO27" s="288">
        <f t="shared" si="23"/>
        <v>176025.81104357325</v>
      </c>
      <c r="AP27" s="288">
        <f t="shared" si="23"/>
        <v>187200.26031463023</v>
      </c>
      <c r="AQ27" s="288">
        <f t="shared" si="23"/>
        <v>195306.45074891738</v>
      </c>
      <c r="AR27" s="288">
        <f t="shared" si="23"/>
        <v>198802.24249642022</v>
      </c>
      <c r="AS27" s="288">
        <f t="shared" si="23"/>
        <v>199746.81780549316</v>
      </c>
      <c r="AT27" s="288">
        <f t="shared" si="23"/>
        <v>199950.78278238917</v>
      </c>
      <c r="AU27" s="288">
        <f t="shared" si="23"/>
        <v>199990.97748500484</v>
      </c>
      <c r="AV27" s="288">
        <f t="shared" si="23"/>
        <v>199998.44244402924</v>
      </c>
      <c r="AW27" s="288">
        <f t="shared" si="23"/>
        <v>199999.74900578713</v>
      </c>
      <c r="AX27" s="290">
        <f t="shared" si="23"/>
        <v>199999.96269086876</v>
      </c>
      <c r="AY27" s="288">
        <f t="shared" si="23"/>
        <v>200000</v>
      </c>
      <c r="AZ27" s="288">
        <f t="shared" si="23"/>
        <v>200000</v>
      </c>
      <c r="BA27" s="288">
        <f t="shared" si="23"/>
        <v>199999.9999450944</v>
      </c>
      <c r="BB27" s="288">
        <f t="shared" si="23"/>
        <v>199999.95657295902</v>
      </c>
      <c r="BC27" s="288">
        <f t="shared" si="23"/>
        <v>199997.66617179298</v>
      </c>
      <c r="BD27" s="288">
        <f t="shared" si="23"/>
        <v>199965.42312980306</v>
      </c>
      <c r="BE27" s="288">
        <f t="shared" si="23"/>
        <v>199756.44589118843</v>
      </c>
      <c r="BF27" s="288">
        <f t="shared" si="23"/>
        <v>198956.14925380488</v>
      </c>
      <c r="BG27" s="288">
        <f t="shared" si="23"/>
        <v>196954.18197639482</v>
      </c>
      <c r="BH27" s="290">
        <f t="shared" si="23"/>
        <v>193527.90249572066</v>
      </c>
      <c r="BI27" s="294" t="s">
        <v>185</v>
      </c>
      <c r="BJ27" s="171"/>
      <c r="BK27" s="251"/>
      <c r="BL27" s="12"/>
      <c r="BM27" s="12"/>
      <c r="BN27" s="12"/>
      <c r="BO27" s="12"/>
      <c r="BQ27" s="13"/>
    </row>
    <row r="28" spans="1:69" ht="20.100000000000001" customHeight="1">
      <c r="A28" s="171"/>
      <c r="B28" s="229" t="s">
        <v>101</v>
      </c>
      <c r="C28" s="294" t="s">
        <v>176</v>
      </c>
      <c r="D28" s="301" t="s">
        <v>186</v>
      </c>
      <c r="E28" s="302"/>
      <c r="F28" s="287" t="s">
        <v>0</v>
      </c>
      <c r="G28" s="302"/>
      <c r="H28" s="291">
        <f>H27*H26</f>
        <v>-663.04347826086962</v>
      </c>
      <c r="I28" s="293">
        <f t="shared" ref="I28:BH28" si="24">I27*I26</f>
        <v>663.04347826086962</v>
      </c>
      <c r="J28" s="291">
        <f t="shared" si="24"/>
        <v>663.04347826086962</v>
      </c>
      <c r="K28" s="291">
        <f t="shared" si="24"/>
        <v>663.04347826086962</v>
      </c>
      <c r="L28" s="291">
        <f t="shared" si="24"/>
        <v>663.04347826086962</v>
      </c>
      <c r="M28" s="291">
        <f t="shared" si="24"/>
        <v>663.04347826086962</v>
      </c>
      <c r="N28" s="291">
        <f t="shared" si="24"/>
        <v>663.04347826086962</v>
      </c>
      <c r="O28" s="291">
        <f t="shared" si="24"/>
        <v>663.04347826086962</v>
      </c>
      <c r="P28" s="291">
        <f t="shared" si="24"/>
        <v>651.37680731845728</v>
      </c>
      <c r="Q28" s="291">
        <f t="shared" si="24"/>
        <v>617.21014175020127</v>
      </c>
      <c r="R28" s="291">
        <f t="shared" si="24"/>
        <v>590.63606841905062</v>
      </c>
      <c r="S28" s="291">
        <f t="shared" si="24"/>
        <v>569.37680968395057</v>
      </c>
      <c r="T28" s="291">
        <f t="shared" si="24"/>
        <v>551.98287067246918</v>
      </c>
      <c r="U28" s="291">
        <f t="shared" si="24"/>
        <v>537.4879214643347</v>
      </c>
      <c r="V28" s="291">
        <f t="shared" si="24"/>
        <v>525.22296441941626</v>
      </c>
      <c r="W28" s="291">
        <f t="shared" si="24"/>
        <v>514.71014407867403</v>
      </c>
      <c r="X28" s="291">
        <f t="shared" si="24"/>
        <v>505.59903310435419</v>
      </c>
      <c r="Y28" s="291">
        <f t="shared" si="24"/>
        <v>497.62681099240217</v>
      </c>
      <c r="Z28" s="291">
        <f t="shared" si="24"/>
        <v>490.59249735679532</v>
      </c>
      <c r="AA28" s="291">
        <f t="shared" si="24"/>
        <v>484.33977411873599</v>
      </c>
      <c r="AB28" s="291">
        <f t="shared" si="24"/>
        <v>478.7452322661963</v>
      </c>
      <c r="AC28" s="291">
        <f t="shared" si="24"/>
        <v>473.71014457886025</v>
      </c>
      <c r="AD28" s="291">
        <f t="shared" si="24"/>
        <v>469.15458897261664</v>
      </c>
      <c r="AE28" s="291">
        <f t="shared" si="24"/>
        <v>465.01317443301036</v>
      </c>
      <c r="AF28" s="291">
        <f t="shared" si="24"/>
        <v>461.23188133086308</v>
      </c>
      <c r="AG28" s="291">
        <f t="shared" si="24"/>
        <v>457.76568909803808</v>
      </c>
      <c r="AH28" s="291">
        <f t="shared" si="24"/>
        <v>454.57676224689988</v>
      </c>
      <c r="AI28" s="291">
        <f t="shared" si="24"/>
        <v>451.63300773596563</v>
      </c>
      <c r="AJ28" s="291">
        <f t="shared" si="24"/>
        <v>448.90674974673345</v>
      </c>
      <c r="AK28" s="291">
        <f t="shared" si="24"/>
        <v>446.37281029362964</v>
      </c>
      <c r="AL28" s="291">
        <f t="shared" si="24"/>
        <v>444.00315851364724</v>
      </c>
      <c r="AM28" s="291">
        <f t="shared" si="24"/>
        <v>441.74577621571706</v>
      </c>
      <c r="AN28" s="291">
        <f t="shared" si="24"/>
        <v>439.43332231970646</v>
      </c>
      <c r="AO28" s="291">
        <f t="shared" si="24"/>
        <v>436.39732225885149</v>
      </c>
      <c r="AP28" s="291">
        <f t="shared" si="24"/>
        <v>430.18241553216143</v>
      </c>
      <c r="AQ28" s="291">
        <f t="shared" si="24"/>
        <v>415.50489939393429</v>
      </c>
      <c r="AR28" s="291">
        <f t="shared" si="24"/>
        <v>390.97774297627325</v>
      </c>
      <c r="AS28" s="291">
        <f t="shared" si="24"/>
        <v>362.50348369065551</v>
      </c>
      <c r="AT28" s="291">
        <f t="shared" si="24"/>
        <v>334.15198347903265</v>
      </c>
      <c r="AU28" s="291">
        <f t="shared" si="24"/>
        <v>307.0036932516515</v>
      </c>
      <c r="AV28" s="291">
        <f t="shared" si="24"/>
        <v>281.19439113745869</v>
      </c>
      <c r="AW28" s="291">
        <f t="shared" si="24"/>
        <v>256.66634448040082</v>
      </c>
      <c r="AX28" s="304">
        <f t="shared" si="24"/>
        <v>233.33328980601348</v>
      </c>
      <c r="AY28" s="291">
        <f t="shared" si="24"/>
        <v>45.52597119161927</v>
      </c>
      <c r="AZ28" s="291">
        <f t="shared" si="24"/>
        <v>-79.360465116279215</v>
      </c>
      <c r="BA28" s="291">
        <f t="shared" si="24"/>
        <v>-168.4095860104118</v>
      </c>
      <c r="BB28" s="291">
        <f t="shared" si="24"/>
        <v>-235.11154394083024</v>
      </c>
      <c r="BC28" s="291">
        <f t="shared" si="24"/>
        <v>-286.93740134562563</v>
      </c>
      <c r="BD28" s="291">
        <f t="shared" si="24"/>
        <v>-328.31572735802746</v>
      </c>
      <c r="BE28" s="291">
        <f t="shared" si="24"/>
        <v>-361.80920825397283</v>
      </c>
      <c r="BF28" s="291">
        <f t="shared" si="24"/>
        <v>-388.42961143733964</v>
      </c>
      <c r="BG28" s="291">
        <f t="shared" si="24"/>
        <v>-408.02357836605029</v>
      </c>
      <c r="BH28" s="304">
        <f t="shared" si="24"/>
        <v>-420.71283151243631</v>
      </c>
      <c r="BI28" s="294" t="s">
        <v>176</v>
      </c>
      <c r="BJ28" s="171"/>
      <c r="BK28" s="239"/>
      <c r="BL28" s="8"/>
      <c r="BM28" s="8"/>
      <c r="BN28" s="8"/>
      <c r="BO28" s="8"/>
      <c r="BQ28" s="14"/>
    </row>
    <row r="29" spans="1:69" ht="20.100000000000001" customHeight="1">
      <c r="A29" s="171"/>
      <c r="B29" s="229" t="s">
        <v>105</v>
      </c>
      <c r="C29" s="294" t="s">
        <v>177</v>
      </c>
      <c r="D29" s="278" t="s">
        <v>159</v>
      </c>
      <c r="E29" s="191"/>
      <c r="F29" s="287" t="s">
        <v>5</v>
      </c>
      <c r="G29" s="303"/>
      <c r="H29" s="288">
        <f t="shared" ref="H29:AM29" si="25">H28*A_st</f>
        <v>-149976.90146267795</v>
      </c>
      <c r="I29" s="305">
        <f t="shared" si="25"/>
        <v>149976.90146267795</v>
      </c>
      <c r="J29" s="288">
        <f t="shared" si="25"/>
        <v>149976.90146267795</v>
      </c>
      <c r="K29" s="288">
        <f t="shared" si="25"/>
        <v>149976.90146267795</v>
      </c>
      <c r="L29" s="288">
        <f t="shared" si="25"/>
        <v>149976.90146267795</v>
      </c>
      <c r="M29" s="288">
        <f t="shared" si="25"/>
        <v>149976.90146267795</v>
      </c>
      <c r="N29" s="288">
        <f t="shared" si="25"/>
        <v>149976.90146267795</v>
      </c>
      <c r="O29" s="288">
        <f t="shared" si="25"/>
        <v>149976.90146267795</v>
      </c>
      <c r="P29" s="288">
        <f t="shared" si="25"/>
        <v>147337.96266651165</v>
      </c>
      <c r="Q29" s="288">
        <f t="shared" si="25"/>
        <v>139609.6449871354</v>
      </c>
      <c r="R29" s="288">
        <f t="shared" si="25"/>
        <v>133598.73121131223</v>
      </c>
      <c r="S29" s="288">
        <f t="shared" si="25"/>
        <v>128790.00017477949</v>
      </c>
      <c r="T29" s="288">
        <f t="shared" si="25"/>
        <v>124855.58386166646</v>
      </c>
      <c r="U29" s="288">
        <f t="shared" si="25"/>
        <v>121576.90359352331</v>
      </c>
      <c r="V29" s="288">
        <f t="shared" si="25"/>
        <v>118802.63566920179</v>
      </c>
      <c r="W29" s="288">
        <f t="shared" si="25"/>
        <v>116424.69173033086</v>
      </c>
      <c r="X29" s="288">
        <f t="shared" si="25"/>
        <v>114363.8069805174</v>
      </c>
      <c r="Y29" s="288">
        <f t="shared" si="25"/>
        <v>112560.5328222994</v>
      </c>
      <c r="Z29" s="288">
        <f t="shared" si="25"/>
        <v>110969.40856337122</v>
      </c>
      <c r="AA29" s="288">
        <f t="shared" si="25"/>
        <v>109555.07588731877</v>
      </c>
      <c r="AB29" s="288">
        <f t="shared" si="25"/>
        <v>108289.62033326074</v>
      </c>
      <c r="AC29" s="288">
        <f t="shared" si="25"/>
        <v>107150.71033007324</v>
      </c>
      <c r="AD29" s="288">
        <f t="shared" si="25"/>
        <v>106120.26792823042</v>
      </c>
      <c r="AE29" s="288">
        <f t="shared" si="25"/>
        <v>105183.50202872744</v>
      </c>
      <c r="AF29" s="288">
        <f t="shared" si="25"/>
        <v>104328.19367931159</v>
      </c>
      <c r="AG29" s="288">
        <f t="shared" si="25"/>
        <v>103544.15946738233</v>
      </c>
      <c r="AH29" s="288">
        <f t="shared" si="25"/>
        <v>102822.84120725961</v>
      </c>
      <c r="AI29" s="288">
        <f t="shared" si="25"/>
        <v>102156.97962398197</v>
      </c>
      <c r="AJ29" s="288">
        <f t="shared" si="25"/>
        <v>101540.31459488708</v>
      </c>
      <c r="AK29" s="288">
        <f t="shared" si="25"/>
        <v>100967.15099381021</v>
      </c>
      <c r="AL29" s="288">
        <f t="shared" si="25"/>
        <v>100431.14838891398</v>
      </c>
      <c r="AM29" s="288">
        <f t="shared" si="25"/>
        <v>99920.540542580464</v>
      </c>
      <c r="AN29" s="288">
        <f t="shared" ref="AN29:BH29" si="26">AN28*A_st</f>
        <v>99397.475794234473</v>
      </c>
      <c r="AO29" s="288">
        <f t="shared" si="26"/>
        <v>98710.748759135909</v>
      </c>
      <c r="AP29" s="288">
        <f t="shared" si="26"/>
        <v>97304.969976433204</v>
      </c>
      <c r="AQ29" s="288">
        <f t="shared" si="26"/>
        <v>93984.994041591606</v>
      </c>
      <c r="AR29" s="288">
        <f t="shared" si="26"/>
        <v>88437.081963699238</v>
      </c>
      <c r="AS29" s="288">
        <f t="shared" si="26"/>
        <v>81996.35625095549</v>
      </c>
      <c r="AT29" s="288">
        <f t="shared" si="26"/>
        <v>75583.397986573458</v>
      </c>
      <c r="AU29" s="288">
        <f t="shared" si="26"/>
        <v>69442.59940879124</v>
      </c>
      <c r="AV29" s="288">
        <f t="shared" si="26"/>
        <v>63604.672806822848</v>
      </c>
      <c r="AW29" s="288">
        <f t="shared" si="26"/>
        <v>58056.559361522952</v>
      </c>
      <c r="AX29" s="290">
        <f t="shared" si="26"/>
        <v>52778.74673466073</v>
      </c>
      <c r="AY29" s="288">
        <f t="shared" si="26"/>
        <v>10297.73207830548</v>
      </c>
      <c r="AZ29" s="288">
        <f t="shared" si="26"/>
        <v>-17950.914302023572</v>
      </c>
      <c r="BA29" s="288">
        <f t="shared" si="26"/>
        <v>-38093.350910717381</v>
      </c>
      <c r="BB29" s="288">
        <f t="shared" si="26"/>
        <v>-53180.978343743962</v>
      </c>
      <c r="BC29" s="291">
        <f t="shared" si="26"/>
        <v>-64903.711111744575</v>
      </c>
      <c r="BD29" s="288">
        <f t="shared" si="26"/>
        <v>-74263.267953069735</v>
      </c>
      <c r="BE29" s="288">
        <f t="shared" si="26"/>
        <v>-81839.314846931084</v>
      </c>
      <c r="BF29" s="288">
        <f t="shared" si="26"/>
        <v>-87860.70818843646</v>
      </c>
      <c r="BG29" s="288">
        <f t="shared" si="26"/>
        <v>-92292.759092606604</v>
      </c>
      <c r="BH29" s="292">
        <f t="shared" si="26"/>
        <v>-95163.000534030987</v>
      </c>
      <c r="BI29" s="294" t="s">
        <v>177</v>
      </c>
      <c r="BJ29" s="171"/>
      <c r="BK29" s="241"/>
      <c r="BL29" s="9"/>
      <c r="BM29" s="9"/>
      <c r="BN29" s="9"/>
      <c r="BO29" s="9"/>
      <c r="BQ29" s="11"/>
    </row>
    <row r="30" spans="1:69" s="84" customFormat="1" ht="20.100000000000001" customHeight="1">
      <c r="A30" s="171"/>
      <c r="B30" s="229" t="s">
        <v>106</v>
      </c>
      <c r="C30" s="294" t="s">
        <v>178</v>
      </c>
      <c r="D30" s="278" t="s">
        <v>160</v>
      </c>
      <c r="E30" s="306"/>
      <c r="F30" s="306" t="s">
        <v>77</v>
      </c>
      <c r="G30" s="307"/>
      <c r="H30" s="308"/>
      <c r="I30" s="293">
        <f t="shared" ref="I30:AN30" si="27">F_cA*h*(17/42*I15-33/98*I15^2)</f>
        <v>2.2767857100765307</v>
      </c>
      <c r="J30" s="288">
        <f t="shared" si="27"/>
        <v>17001080.139697578</v>
      </c>
      <c r="K30" s="288">
        <f t="shared" si="27"/>
        <v>33519340.099407542</v>
      </c>
      <c r="L30" s="288">
        <f t="shared" si="27"/>
        <v>49554782.155915603</v>
      </c>
      <c r="M30" s="288">
        <f t="shared" si="27"/>
        <v>65107406.309221782</v>
      </c>
      <c r="N30" s="288">
        <f t="shared" si="27"/>
        <v>80177212.559326038</v>
      </c>
      <c r="O30" s="288">
        <f t="shared" si="27"/>
        <v>94764200.906228393</v>
      </c>
      <c r="P30" s="288">
        <f t="shared" si="27"/>
        <v>108868371.34992886</v>
      </c>
      <c r="Q30" s="288">
        <f t="shared" si="27"/>
        <v>122489723.89042741</v>
      </c>
      <c r="R30" s="288">
        <f t="shared" si="27"/>
        <v>135628258.52772406</v>
      </c>
      <c r="S30" s="288">
        <f t="shared" si="27"/>
        <v>148283975.2618188</v>
      </c>
      <c r="T30" s="288">
        <f t="shared" si="27"/>
        <v>160456874.09271166</v>
      </c>
      <c r="U30" s="288">
        <f t="shared" si="27"/>
        <v>172146955.02040261</v>
      </c>
      <c r="V30" s="288">
        <f t="shared" si="27"/>
        <v>183354218.04489163</v>
      </c>
      <c r="W30" s="288">
        <f t="shared" si="27"/>
        <v>194078663.16617876</v>
      </c>
      <c r="X30" s="288">
        <f t="shared" si="27"/>
        <v>204320290.38426399</v>
      </c>
      <c r="Y30" s="288">
        <f t="shared" si="27"/>
        <v>214079099.69914731</v>
      </c>
      <c r="Z30" s="288">
        <f t="shared" si="27"/>
        <v>223355091.11082879</v>
      </c>
      <c r="AA30" s="288">
        <f t="shared" si="27"/>
        <v>232148264.61930829</v>
      </c>
      <c r="AB30" s="288">
        <f t="shared" si="27"/>
        <v>240458620.22458592</v>
      </c>
      <c r="AC30" s="288">
        <f t="shared" si="27"/>
        <v>248286157.92666161</v>
      </c>
      <c r="AD30" s="288">
        <f t="shared" si="27"/>
        <v>255630877.72553542</v>
      </c>
      <c r="AE30" s="288">
        <f t="shared" si="27"/>
        <v>262492779.62120736</v>
      </c>
      <c r="AF30" s="288">
        <f t="shared" si="27"/>
        <v>268871863.61367738</v>
      </c>
      <c r="AG30" s="288">
        <f t="shared" si="27"/>
        <v>274768129.70294547</v>
      </c>
      <c r="AH30" s="288">
        <f t="shared" si="27"/>
        <v>280181577.88901174</v>
      </c>
      <c r="AI30" s="288">
        <f t="shared" si="27"/>
        <v>285112208.17187595</v>
      </c>
      <c r="AJ30" s="288">
        <f t="shared" si="27"/>
        <v>289560020.55153841</v>
      </c>
      <c r="AK30" s="288">
        <f t="shared" si="27"/>
        <v>293525015.02799892</v>
      </c>
      <c r="AL30" s="288">
        <f t="shared" si="27"/>
        <v>297007191.6012575</v>
      </c>
      <c r="AM30" s="288">
        <f t="shared" si="27"/>
        <v>300006550.2713142</v>
      </c>
      <c r="AN30" s="288">
        <f t="shared" si="27"/>
        <v>302523091.03816903</v>
      </c>
      <c r="AO30" s="288">
        <f t="shared" ref="AO30:BH30" si="28">F_cA*h*(17/42*AO15-33/98*AO15^2)</f>
        <v>304556813.90182185</v>
      </c>
      <c r="AP30" s="288">
        <f t="shared" si="28"/>
        <v>306107718.8622728</v>
      </c>
      <c r="AQ30" s="288">
        <f t="shared" si="28"/>
        <v>307175805.91952193</v>
      </c>
      <c r="AR30" s="288">
        <f t="shared" si="28"/>
        <v>307761075.07356912</v>
      </c>
      <c r="AS30" s="288">
        <f t="shared" si="28"/>
        <v>307863526.32441437</v>
      </c>
      <c r="AT30" s="288">
        <f t="shared" si="28"/>
        <v>307483159.67205787</v>
      </c>
      <c r="AU30" s="288">
        <f t="shared" si="28"/>
        <v>306619975.11649919</v>
      </c>
      <c r="AV30" s="288">
        <f t="shared" si="28"/>
        <v>305273972.65773886</v>
      </c>
      <c r="AW30" s="288">
        <f t="shared" si="28"/>
        <v>303445152.29577655</v>
      </c>
      <c r="AX30" s="290">
        <f t="shared" si="28"/>
        <v>301133514.03061223</v>
      </c>
      <c r="AY30" s="288">
        <f t="shared" si="28"/>
        <v>249012001.26411256</v>
      </c>
      <c r="AZ30" s="288">
        <f t="shared" si="28"/>
        <v>145385327.00777146</v>
      </c>
      <c r="BA30" s="288">
        <f t="shared" si="28"/>
        <v>-9746508.7384103481</v>
      </c>
      <c r="BB30" s="288">
        <f t="shared" si="28"/>
        <v>-216383505.97443387</v>
      </c>
      <c r="BC30" s="291">
        <f t="shared" si="28"/>
        <v>-474525664.70029783</v>
      </c>
      <c r="BD30" s="288">
        <f t="shared" si="28"/>
        <v>-784172984.91600358</v>
      </c>
      <c r="BE30" s="288">
        <f t="shared" si="28"/>
        <v>-1145325466.6215498</v>
      </c>
      <c r="BF30" s="288">
        <f t="shared" si="28"/>
        <v>-1557983109.8169377</v>
      </c>
      <c r="BG30" s="288">
        <f t="shared" si="28"/>
        <v>-2022145914.5021665</v>
      </c>
      <c r="BH30" s="292">
        <f t="shared" si="28"/>
        <v>-2537813880.6772389</v>
      </c>
      <c r="BI30" s="294" t="s">
        <v>178</v>
      </c>
      <c r="BJ30" s="350"/>
      <c r="BK30" s="351"/>
      <c r="BL30" s="98"/>
      <c r="BM30" s="98"/>
      <c r="BN30" s="98"/>
      <c r="BO30" s="98"/>
      <c r="BQ30" s="99"/>
    </row>
    <row r="31" spans="1:69" s="84" customFormat="1" ht="20.100000000000001" customHeight="1">
      <c r="A31" s="171"/>
      <c r="B31" s="229" t="s">
        <v>124</v>
      </c>
      <c r="C31" s="285" t="s">
        <v>179</v>
      </c>
      <c r="D31" s="286" t="s">
        <v>164</v>
      </c>
      <c r="E31" s="306"/>
      <c r="F31" s="306" t="s">
        <v>77</v>
      </c>
      <c r="G31" s="307"/>
      <c r="H31" s="288">
        <f t="shared" ref="H31:AM31" si="29">-H17*h*(7+8*H15+9*H15^2)</f>
        <v>0</v>
      </c>
      <c r="I31" s="293">
        <f t="shared" si="29"/>
        <v>0</v>
      </c>
      <c r="J31" s="288">
        <f t="shared" si="29"/>
        <v>0</v>
      </c>
      <c r="K31" s="288">
        <f t="shared" si="29"/>
        <v>0</v>
      </c>
      <c r="L31" s="288">
        <f t="shared" si="29"/>
        <v>0</v>
      </c>
      <c r="M31" s="288">
        <f t="shared" si="29"/>
        <v>0</v>
      </c>
      <c r="N31" s="288">
        <f t="shared" si="29"/>
        <v>0</v>
      </c>
      <c r="O31" s="288">
        <f t="shared" si="29"/>
        <v>0</v>
      </c>
      <c r="P31" s="288">
        <f t="shared" si="29"/>
        <v>0</v>
      </c>
      <c r="Q31" s="288">
        <f t="shared" si="29"/>
        <v>0</v>
      </c>
      <c r="R31" s="288">
        <f t="shared" si="29"/>
        <v>0</v>
      </c>
      <c r="S31" s="288">
        <f t="shared" si="29"/>
        <v>0</v>
      </c>
      <c r="T31" s="288">
        <f t="shared" si="29"/>
        <v>0</v>
      </c>
      <c r="U31" s="288">
        <f t="shared" si="29"/>
        <v>0</v>
      </c>
      <c r="V31" s="288">
        <f t="shared" si="29"/>
        <v>0</v>
      </c>
      <c r="W31" s="288">
        <f t="shared" si="29"/>
        <v>0</v>
      </c>
      <c r="X31" s="288">
        <f t="shared" si="29"/>
        <v>0</v>
      </c>
      <c r="Y31" s="288">
        <f t="shared" si="29"/>
        <v>0</v>
      </c>
      <c r="Z31" s="288">
        <f t="shared" si="29"/>
        <v>0</v>
      </c>
      <c r="AA31" s="288">
        <f t="shared" si="29"/>
        <v>0</v>
      </c>
      <c r="AB31" s="288">
        <f t="shared" si="29"/>
        <v>0</v>
      </c>
      <c r="AC31" s="288">
        <f t="shared" si="29"/>
        <v>0</v>
      </c>
      <c r="AD31" s="288">
        <f t="shared" si="29"/>
        <v>0</v>
      </c>
      <c r="AE31" s="288">
        <f t="shared" si="29"/>
        <v>0</v>
      </c>
      <c r="AF31" s="288">
        <f t="shared" si="29"/>
        <v>0</v>
      </c>
      <c r="AG31" s="288">
        <f t="shared" si="29"/>
        <v>0</v>
      </c>
      <c r="AH31" s="288">
        <f t="shared" si="29"/>
        <v>0</v>
      </c>
      <c r="AI31" s="288">
        <f t="shared" si="29"/>
        <v>0</v>
      </c>
      <c r="AJ31" s="288">
        <f t="shared" si="29"/>
        <v>0</v>
      </c>
      <c r="AK31" s="288">
        <f t="shared" si="29"/>
        <v>0</v>
      </c>
      <c r="AL31" s="288">
        <f t="shared" si="29"/>
        <v>0</v>
      </c>
      <c r="AM31" s="288">
        <f t="shared" si="29"/>
        <v>0</v>
      </c>
      <c r="AN31" s="288">
        <f t="shared" ref="AN31:BH31" si="30">-AN17*h*(7+8*AN15+9*AN15^2)</f>
        <v>0</v>
      </c>
      <c r="AO31" s="288">
        <f t="shared" si="30"/>
        <v>0</v>
      </c>
      <c r="AP31" s="288">
        <f t="shared" si="30"/>
        <v>0</v>
      </c>
      <c r="AQ31" s="288">
        <f t="shared" si="30"/>
        <v>0</v>
      </c>
      <c r="AR31" s="288">
        <f t="shared" si="30"/>
        <v>0</v>
      </c>
      <c r="AS31" s="288">
        <f t="shared" si="30"/>
        <v>0</v>
      </c>
      <c r="AT31" s="288">
        <f t="shared" si="30"/>
        <v>0</v>
      </c>
      <c r="AU31" s="288">
        <f t="shared" si="30"/>
        <v>0</v>
      </c>
      <c r="AV31" s="288">
        <f t="shared" si="30"/>
        <v>0</v>
      </c>
      <c r="AW31" s="288">
        <f t="shared" si="30"/>
        <v>0</v>
      </c>
      <c r="AX31" s="290">
        <f t="shared" si="30"/>
        <v>0</v>
      </c>
      <c r="AY31" s="288">
        <f t="shared" si="30"/>
        <v>0</v>
      </c>
      <c r="AZ31" s="288">
        <f t="shared" si="30"/>
        <v>-3034682.1638960852</v>
      </c>
      <c r="BA31" s="288">
        <f t="shared" si="30"/>
        <v>-84070447.160095483</v>
      </c>
      <c r="BB31" s="288">
        <f t="shared" si="30"/>
        <v>-252369162.02417028</v>
      </c>
      <c r="BC31" s="291">
        <f t="shared" si="30"/>
        <v>-490721937.21065164</v>
      </c>
      <c r="BD31" s="288">
        <f t="shared" si="30"/>
        <v>-790560268.28293312</v>
      </c>
      <c r="BE31" s="288">
        <f t="shared" si="30"/>
        <v>-1147298630.5896914</v>
      </c>
      <c r="BF31" s="288">
        <f t="shared" si="30"/>
        <v>-1558342025.3204143</v>
      </c>
      <c r="BG31" s="288">
        <f t="shared" si="30"/>
        <v>-2022155597.8546174</v>
      </c>
      <c r="BH31" s="292">
        <f t="shared" si="30"/>
        <v>-2537798856.2668686</v>
      </c>
      <c r="BI31" s="285" t="s">
        <v>179</v>
      </c>
      <c r="BJ31" s="350"/>
      <c r="BK31" s="351"/>
      <c r="BL31" s="98"/>
      <c r="BM31" s="98"/>
      <c r="BN31" s="98"/>
      <c r="BO31" s="98"/>
      <c r="BQ31" s="99"/>
    </row>
    <row r="32" spans="1:69" s="84" customFormat="1" ht="20.100000000000001" customHeight="1">
      <c r="A32" s="171"/>
      <c r="B32" s="229" t="s">
        <v>125</v>
      </c>
      <c r="C32" s="285" t="s">
        <v>180</v>
      </c>
      <c r="D32" s="286" t="s">
        <v>161</v>
      </c>
      <c r="E32" s="306"/>
      <c r="F32" s="306" t="s">
        <v>77</v>
      </c>
      <c r="G32" s="307"/>
      <c r="H32" s="288">
        <f>H30-H31</f>
        <v>0</v>
      </c>
      <c r="I32" s="293">
        <f t="shared" ref="I32:BH32" si="31">I30-I31</f>
        <v>2.2767857100765307</v>
      </c>
      <c r="J32" s="288">
        <f t="shared" si="31"/>
        <v>17001080.139697578</v>
      </c>
      <c r="K32" s="288">
        <f t="shared" si="31"/>
        <v>33519340.099407542</v>
      </c>
      <c r="L32" s="288">
        <f t="shared" si="31"/>
        <v>49554782.155915603</v>
      </c>
      <c r="M32" s="288">
        <f t="shared" si="31"/>
        <v>65107406.309221782</v>
      </c>
      <c r="N32" s="288">
        <f t="shared" si="31"/>
        <v>80177212.559326038</v>
      </c>
      <c r="O32" s="288">
        <f t="shared" si="31"/>
        <v>94764200.906228393</v>
      </c>
      <c r="P32" s="288">
        <f t="shared" si="31"/>
        <v>108868371.34992886</v>
      </c>
      <c r="Q32" s="288">
        <f t="shared" si="31"/>
        <v>122489723.89042741</v>
      </c>
      <c r="R32" s="288">
        <f t="shared" si="31"/>
        <v>135628258.52772406</v>
      </c>
      <c r="S32" s="288">
        <f t="shared" si="31"/>
        <v>148283975.2618188</v>
      </c>
      <c r="T32" s="288">
        <f t="shared" si="31"/>
        <v>160456874.09271166</v>
      </c>
      <c r="U32" s="288">
        <f t="shared" si="31"/>
        <v>172146955.02040261</v>
      </c>
      <c r="V32" s="288">
        <f t="shared" si="31"/>
        <v>183354218.04489163</v>
      </c>
      <c r="W32" s="288">
        <f t="shared" si="31"/>
        <v>194078663.16617876</v>
      </c>
      <c r="X32" s="288">
        <f t="shared" si="31"/>
        <v>204320290.38426399</v>
      </c>
      <c r="Y32" s="288">
        <f t="shared" si="31"/>
        <v>214079099.69914731</v>
      </c>
      <c r="Z32" s="288">
        <f t="shared" si="31"/>
        <v>223355091.11082879</v>
      </c>
      <c r="AA32" s="288">
        <f t="shared" si="31"/>
        <v>232148264.61930829</v>
      </c>
      <c r="AB32" s="288">
        <f t="shared" si="31"/>
        <v>240458620.22458592</v>
      </c>
      <c r="AC32" s="288">
        <f t="shared" si="31"/>
        <v>248286157.92666161</v>
      </c>
      <c r="AD32" s="288">
        <f t="shared" si="31"/>
        <v>255630877.72553542</v>
      </c>
      <c r="AE32" s="288">
        <f t="shared" si="31"/>
        <v>262492779.62120736</v>
      </c>
      <c r="AF32" s="288">
        <f t="shared" si="31"/>
        <v>268871863.61367738</v>
      </c>
      <c r="AG32" s="288">
        <f t="shared" si="31"/>
        <v>274768129.70294547</v>
      </c>
      <c r="AH32" s="288">
        <f t="shared" si="31"/>
        <v>280181577.88901174</v>
      </c>
      <c r="AI32" s="288">
        <f t="shared" si="31"/>
        <v>285112208.17187595</v>
      </c>
      <c r="AJ32" s="288">
        <f t="shared" si="31"/>
        <v>289560020.55153841</v>
      </c>
      <c r="AK32" s="288">
        <f t="shared" si="31"/>
        <v>293525015.02799892</v>
      </c>
      <c r="AL32" s="288">
        <f t="shared" si="31"/>
        <v>297007191.6012575</v>
      </c>
      <c r="AM32" s="288">
        <f t="shared" si="31"/>
        <v>300006550.2713142</v>
      </c>
      <c r="AN32" s="288">
        <f t="shared" si="31"/>
        <v>302523091.03816903</v>
      </c>
      <c r="AO32" s="288">
        <f t="shared" si="31"/>
        <v>304556813.90182185</v>
      </c>
      <c r="AP32" s="288">
        <f t="shared" si="31"/>
        <v>306107718.8622728</v>
      </c>
      <c r="AQ32" s="288">
        <f t="shared" si="31"/>
        <v>307175805.91952193</v>
      </c>
      <c r="AR32" s="288">
        <f t="shared" si="31"/>
        <v>307761075.07356912</v>
      </c>
      <c r="AS32" s="288">
        <f t="shared" si="31"/>
        <v>307863526.32441437</v>
      </c>
      <c r="AT32" s="288">
        <f t="shared" si="31"/>
        <v>307483159.67205787</v>
      </c>
      <c r="AU32" s="288">
        <f t="shared" si="31"/>
        <v>306619975.11649919</v>
      </c>
      <c r="AV32" s="288">
        <f t="shared" si="31"/>
        <v>305273972.65773886</v>
      </c>
      <c r="AW32" s="288">
        <f t="shared" si="31"/>
        <v>303445152.29577655</v>
      </c>
      <c r="AX32" s="290">
        <f t="shared" si="31"/>
        <v>301133514.03061223</v>
      </c>
      <c r="AY32" s="288">
        <f t="shared" si="31"/>
        <v>249012001.26411256</v>
      </c>
      <c r="AZ32" s="288">
        <f t="shared" si="31"/>
        <v>148420009.17166755</v>
      </c>
      <c r="BA32" s="288">
        <f t="shared" si="31"/>
        <v>74323938.421685129</v>
      </c>
      <c r="BB32" s="288">
        <f t="shared" si="31"/>
        <v>35985656.04973641</v>
      </c>
      <c r="BC32" s="291">
        <f t="shared" si="31"/>
        <v>16196272.510353804</v>
      </c>
      <c r="BD32" s="288">
        <f t="shared" si="31"/>
        <v>6387283.3669295311</v>
      </c>
      <c r="BE32" s="288">
        <f t="shared" si="31"/>
        <v>1973163.9681415558</v>
      </c>
      <c r="BF32" s="288">
        <f t="shared" si="31"/>
        <v>358915.50347661972</v>
      </c>
      <c r="BG32" s="288">
        <f t="shared" si="31"/>
        <v>9683.3524508476257</v>
      </c>
      <c r="BH32" s="292">
        <f t="shared" si="31"/>
        <v>-15024.410370349884</v>
      </c>
      <c r="BI32" s="285" t="s">
        <v>180</v>
      </c>
      <c r="BJ32" s="350"/>
      <c r="BK32" s="351"/>
      <c r="BL32" s="98"/>
      <c r="BM32" s="98"/>
      <c r="BN32" s="98"/>
      <c r="BO32" s="98"/>
      <c r="BQ32" s="99"/>
    </row>
    <row r="33" spans="1:69" s="84" customFormat="1" ht="20.100000000000001" customHeight="1">
      <c r="A33" s="171"/>
      <c r="B33" s="229" t="s">
        <v>107</v>
      </c>
      <c r="C33" s="294" t="s">
        <v>181</v>
      </c>
      <c r="D33" s="278" t="s">
        <v>162</v>
      </c>
      <c r="E33" s="306" t="s">
        <v>77</v>
      </c>
      <c r="F33" s="306" t="s">
        <v>77</v>
      </c>
      <c r="G33" s="307"/>
      <c r="H33" s="288">
        <f t="shared" ref="H33:AM33" si="32">H25*(d_0-a_cu)</f>
        <v>-73622441.443715066</v>
      </c>
      <c r="I33" s="293">
        <f t="shared" si="32"/>
        <v>-85036903.129338399</v>
      </c>
      <c r="J33" s="288">
        <f t="shared" si="32"/>
        <v>66616884.86107111</v>
      </c>
      <c r="K33" s="288">
        <f t="shared" si="32"/>
        <v>55947775.710765786</v>
      </c>
      <c r="L33" s="288">
        <f t="shared" si="32"/>
        <v>48627710.047961839</v>
      </c>
      <c r="M33" s="288">
        <f t="shared" si="32"/>
        <v>15148689.681503577</v>
      </c>
      <c r="N33" s="288">
        <f t="shared" si="32"/>
        <v>3894649.1521932413</v>
      </c>
      <c r="O33" s="288">
        <f t="shared" si="32"/>
        <v>16741821.588395732</v>
      </c>
      <c r="P33" s="288">
        <f t="shared" si="32"/>
        <v>26220257.365667876</v>
      </c>
      <c r="Q33" s="288">
        <f t="shared" si="32"/>
        <v>33493835.420158733</v>
      </c>
      <c r="R33" s="288">
        <f t="shared" si="32"/>
        <v>39241294.533006832</v>
      </c>
      <c r="S33" s="288">
        <f t="shared" si="32"/>
        <v>43840293.00933969</v>
      </c>
      <c r="T33" s="288">
        <f t="shared" si="32"/>
        <v>47402357.27169311</v>
      </c>
      <c r="U33" s="288">
        <f t="shared" si="32"/>
        <v>49859268.274389416</v>
      </c>
      <c r="V33" s="288">
        <f t="shared" si="32"/>
        <v>51295195.198532887</v>
      </c>
      <c r="W33" s="288">
        <f t="shared" si="32"/>
        <v>52056255.827401891</v>
      </c>
      <c r="X33" s="288">
        <f t="shared" si="32"/>
        <v>52466614.819235221</v>
      </c>
      <c r="Y33" s="288">
        <f t="shared" si="32"/>
        <v>52708849.373054489</v>
      </c>
      <c r="Z33" s="288">
        <f t="shared" si="32"/>
        <v>52868148.995908074</v>
      </c>
      <c r="AA33" s="288">
        <f t="shared" si="32"/>
        <v>52983285.289717905</v>
      </c>
      <c r="AB33" s="288">
        <f t="shared" si="32"/>
        <v>53072696.17738343</v>
      </c>
      <c r="AC33" s="288">
        <f t="shared" si="32"/>
        <v>53145767.97410091</v>
      </c>
      <c r="AD33" s="288">
        <f t="shared" si="32"/>
        <v>53207645.75606475</v>
      </c>
      <c r="AE33" s="288">
        <f t="shared" si="32"/>
        <v>53261360.614699163</v>
      </c>
      <c r="AF33" s="288">
        <f t="shared" si="32"/>
        <v>53308821.327491671</v>
      </c>
      <c r="AG33" s="288">
        <f t="shared" si="32"/>
        <v>53351303.467994399</v>
      </c>
      <c r="AH33" s="288">
        <f t="shared" si="32"/>
        <v>53389704.383918971</v>
      </c>
      <c r="AI33" s="288">
        <f t="shared" si="32"/>
        <v>53424683.317821503</v>
      </c>
      <c r="AJ33" s="288">
        <f t="shared" si="32"/>
        <v>53456742.318179503</v>
      </c>
      <c r="AK33" s="288">
        <f t="shared" si="32"/>
        <v>53486275.165578492</v>
      </c>
      <c r="AL33" s="288">
        <f t="shared" si="32"/>
        <v>53513598.246189505</v>
      </c>
      <c r="AM33" s="288">
        <f t="shared" si="32"/>
        <v>53538970.809812121</v>
      </c>
      <c r="AN33" s="288">
        <f t="shared" ref="AN33:BH33" si="33">AN25*(d_0-a_cu)</f>
        <v>53562608.742659308</v>
      </c>
      <c r="AO33" s="288">
        <f t="shared" si="33"/>
        <v>53584694.234883137</v>
      </c>
      <c r="AP33" s="288">
        <f t="shared" si="33"/>
        <v>53605382.762574576</v>
      </c>
      <c r="AQ33" s="288">
        <f t="shared" si="33"/>
        <v>53624808.259006731</v>
      </c>
      <c r="AR33" s="288">
        <f t="shared" si="33"/>
        <v>53643087.030663893</v>
      </c>
      <c r="AS33" s="288">
        <f t="shared" si="33"/>
        <v>53660320.780961812</v>
      </c>
      <c r="AT33" s="288">
        <f t="shared" si="33"/>
        <v>53676598.98502434</v>
      </c>
      <c r="AU33" s="288">
        <f t="shared" si="33"/>
        <v>53692000.782731012</v>
      </c>
      <c r="AV33" s="288">
        <f t="shared" si="33"/>
        <v>53706596.507530607</v>
      </c>
      <c r="AW33" s="288">
        <f t="shared" si="33"/>
        <v>53720448.93529404</v>
      </c>
      <c r="AX33" s="290">
        <f t="shared" si="33"/>
        <v>53733614.314802572</v>
      </c>
      <c r="AY33" s="288">
        <f t="shared" si="33"/>
        <v>53839262.188772619</v>
      </c>
      <c r="AZ33" s="288">
        <f t="shared" si="33"/>
        <v>53909289.551265508</v>
      </c>
      <c r="BA33" s="288">
        <f t="shared" si="33"/>
        <v>53959149.047748305</v>
      </c>
      <c r="BB33" s="288">
        <f t="shared" si="33"/>
        <v>53996466.135522798</v>
      </c>
      <c r="BC33" s="291">
        <f t="shared" si="33"/>
        <v>54025447.970878869</v>
      </c>
      <c r="BD33" s="288">
        <f t="shared" si="33"/>
        <v>54048607.979147904</v>
      </c>
      <c r="BE33" s="288">
        <f t="shared" si="33"/>
        <v>54067540.859824218</v>
      </c>
      <c r="BF33" s="288">
        <f t="shared" si="33"/>
        <v>54083307.418374829</v>
      </c>
      <c r="BG33" s="288">
        <f t="shared" si="33"/>
        <v>54096640.81889046</v>
      </c>
      <c r="BH33" s="292">
        <f t="shared" si="33"/>
        <v>54108064.045265868</v>
      </c>
      <c r="BI33" s="294" t="s">
        <v>181</v>
      </c>
      <c r="BJ33" s="350"/>
      <c r="BK33" s="351"/>
      <c r="BL33" s="98"/>
      <c r="BM33" s="98"/>
      <c r="BN33" s="98"/>
      <c r="BO33" s="98"/>
      <c r="BQ33" s="99"/>
    </row>
    <row r="34" spans="1:69" s="84" customFormat="1" ht="20.100000000000001" customHeight="1" thickBot="1">
      <c r="A34" s="171"/>
      <c r="B34" s="229" t="s">
        <v>108</v>
      </c>
      <c r="C34" s="309" t="s">
        <v>182</v>
      </c>
      <c r="D34" s="278" t="s">
        <v>163</v>
      </c>
      <c r="E34" s="306" t="s">
        <v>74</v>
      </c>
      <c r="F34" s="306" t="s">
        <v>77</v>
      </c>
      <c r="G34" s="307"/>
      <c r="H34" s="288">
        <f t="shared" ref="H34:AM34" si="34">H29*(d_0-a_tl)</f>
        <v>-28345634.376446132</v>
      </c>
      <c r="I34" s="293">
        <f t="shared" si="34"/>
        <v>28345634.376446132</v>
      </c>
      <c r="J34" s="288">
        <f t="shared" si="34"/>
        <v>28345634.376446132</v>
      </c>
      <c r="K34" s="288">
        <f t="shared" si="34"/>
        <v>28345634.376446132</v>
      </c>
      <c r="L34" s="288">
        <f t="shared" si="34"/>
        <v>28345634.376446132</v>
      </c>
      <c r="M34" s="288">
        <f t="shared" si="34"/>
        <v>28345634.376446132</v>
      </c>
      <c r="N34" s="288">
        <f t="shared" si="34"/>
        <v>28345634.376446132</v>
      </c>
      <c r="O34" s="288">
        <f t="shared" si="34"/>
        <v>28345634.376446132</v>
      </c>
      <c r="P34" s="288">
        <f t="shared" si="34"/>
        <v>27846874.943970703</v>
      </c>
      <c r="Q34" s="288">
        <f t="shared" si="34"/>
        <v>26386222.90256859</v>
      </c>
      <c r="R34" s="288">
        <f t="shared" si="34"/>
        <v>25250160.198938012</v>
      </c>
      <c r="S34" s="288">
        <f t="shared" si="34"/>
        <v>24341310.033033323</v>
      </c>
      <c r="T34" s="288">
        <f t="shared" si="34"/>
        <v>23597705.349854961</v>
      </c>
      <c r="U34" s="288">
        <f t="shared" si="34"/>
        <v>22978034.779175907</v>
      </c>
      <c r="V34" s="288">
        <f t="shared" si="34"/>
        <v>22453698.141479138</v>
      </c>
      <c r="W34" s="288">
        <f t="shared" si="34"/>
        <v>22004266.737032533</v>
      </c>
      <c r="X34" s="288">
        <f t="shared" si="34"/>
        <v>21614759.519317787</v>
      </c>
      <c r="Y34" s="288">
        <f t="shared" si="34"/>
        <v>21273940.703414585</v>
      </c>
      <c r="Z34" s="288">
        <f t="shared" si="34"/>
        <v>20973218.21847716</v>
      </c>
      <c r="AA34" s="288">
        <f t="shared" si="34"/>
        <v>20705909.342703249</v>
      </c>
      <c r="AB34" s="288">
        <f t="shared" si="34"/>
        <v>20466738.24298628</v>
      </c>
      <c r="AC34" s="288">
        <f t="shared" si="34"/>
        <v>20251484.252383843</v>
      </c>
      <c r="AD34" s="288">
        <f t="shared" si="34"/>
        <v>20056730.63843555</v>
      </c>
      <c r="AE34" s="288">
        <f t="shared" si="34"/>
        <v>19879681.883429486</v>
      </c>
      <c r="AF34" s="288">
        <f t="shared" si="34"/>
        <v>19718028.605389889</v>
      </c>
      <c r="AG34" s="288">
        <f t="shared" si="34"/>
        <v>19569846.13933526</v>
      </c>
      <c r="AH34" s="288">
        <f t="shared" si="34"/>
        <v>19433516.988172065</v>
      </c>
      <c r="AI34" s="288">
        <f t="shared" si="34"/>
        <v>19307669.148932591</v>
      </c>
      <c r="AJ34" s="288">
        <f t="shared" si="34"/>
        <v>19191119.458433658</v>
      </c>
      <c r="AK34" s="288">
        <f t="shared" si="34"/>
        <v>19082791.537830129</v>
      </c>
      <c r="AL34" s="288">
        <f t="shared" si="34"/>
        <v>18981487.045504741</v>
      </c>
      <c r="AM34" s="288">
        <f t="shared" si="34"/>
        <v>18884982.162547708</v>
      </c>
      <c r="AN34" s="288">
        <f t="shared" ref="AN34:BH34" si="35">AN29*(d_0-a_tl)</f>
        <v>18786122.925110314</v>
      </c>
      <c r="AO34" s="288">
        <f t="shared" si="35"/>
        <v>18656331.515476689</v>
      </c>
      <c r="AP34" s="288">
        <f t="shared" si="35"/>
        <v>18390639.325545877</v>
      </c>
      <c r="AQ34" s="288">
        <f t="shared" si="35"/>
        <v>17763163.873860814</v>
      </c>
      <c r="AR34" s="288">
        <f t="shared" si="35"/>
        <v>16714608.491139157</v>
      </c>
      <c r="AS34" s="288">
        <f t="shared" si="35"/>
        <v>15497311.331430588</v>
      </c>
      <c r="AT34" s="288">
        <f t="shared" si="35"/>
        <v>14285262.219462384</v>
      </c>
      <c r="AU34" s="288">
        <f t="shared" si="35"/>
        <v>13124651.288261544</v>
      </c>
      <c r="AV34" s="288">
        <f t="shared" si="35"/>
        <v>12021283.160489518</v>
      </c>
      <c r="AW34" s="288">
        <f t="shared" si="35"/>
        <v>10972689.719327837</v>
      </c>
      <c r="AX34" s="290">
        <f t="shared" si="35"/>
        <v>9975183.1328508779</v>
      </c>
      <c r="AY34" s="288">
        <f t="shared" si="35"/>
        <v>1946271.3627997357</v>
      </c>
      <c r="AZ34" s="288">
        <f t="shared" si="35"/>
        <v>-3392722.8030824549</v>
      </c>
      <c r="BA34" s="288">
        <f t="shared" si="35"/>
        <v>-7199643.3221255848</v>
      </c>
      <c r="BB34" s="288">
        <f t="shared" si="35"/>
        <v>-10051204.906967608</v>
      </c>
      <c r="BC34" s="291">
        <f t="shared" si="35"/>
        <v>-12266801.400119724</v>
      </c>
      <c r="BD34" s="288">
        <f t="shared" si="35"/>
        <v>-14035757.643130179</v>
      </c>
      <c r="BE34" s="288">
        <f t="shared" si="35"/>
        <v>-15467630.506069975</v>
      </c>
      <c r="BF34" s="288">
        <f t="shared" si="35"/>
        <v>-16605673.847614491</v>
      </c>
      <c r="BG34" s="288">
        <f t="shared" si="35"/>
        <v>-17443331.468502648</v>
      </c>
      <c r="BH34" s="292">
        <f t="shared" si="35"/>
        <v>-17985807.100931857</v>
      </c>
      <c r="BI34" s="309" t="s">
        <v>182</v>
      </c>
      <c r="BJ34" s="350"/>
      <c r="BK34" s="351"/>
      <c r="BL34" s="98"/>
      <c r="BM34" s="98"/>
      <c r="BN34" s="98"/>
      <c r="BO34" s="98"/>
      <c r="BQ34" s="99"/>
    </row>
    <row r="35" spans="1:69" ht="20.100000000000001" customHeight="1" thickTop="1">
      <c r="A35" s="171"/>
      <c r="B35" s="229" t="s">
        <v>132</v>
      </c>
      <c r="C35" s="356" t="s">
        <v>199</v>
      </c>
      <c r="D35" s="357"/>
      <c r="E35" s="357"/>
      <c r="F35" s="310" t="s">
        <v>75</v>
      </c>
      <c r="G35" s="272">
        <v>0</v>
      </c>
      <c r="H35" s="272">
        <f t="shared" ref="H35:AM35" si="36">(H19+H25-H29)/1000</f>
        <v>-239.55982575274564</v>
      </c>
      <c r="I35" s="272">
        <f t="shared" si="36"/>
        <v>-599.90759573166417</v>
      </c>
      <c r="J35" s="272">
        <f t="shared" si="36"/>
        <v>279.12667394110514</v>
      </c>
      <c r="K35" s="272">
        <f t="shared" si="36"/>
        <v>299.30963599104467</v>
      </c>
      <c r="L35" s="272">
        <f t="shared" si="36"/>
        <v>337.21240485316093</v>
      </c>
      <c r="M35" s="272">
        <f t="shared" si="36"/>
        <v>236.70800597107447</v>
      </c>
      <c r="N35" s="272">
        <f t="shared" si="36"/>
        <v>253.79609299982343</v>
      </c>
      <c r="O35" s="272">
        <f t="shared" si="36"/>
        <v>398.40382534874612</v>
      </c>
      <c r="P35" s="272">
        <f t="shared" si="36"/>
        <v>527.8264930074314</v>
      </c>
      <c r="Q35" s="272">
        <f t="shared" si="36"/>
        <v>650.67262567217676</v>
      </c>
      <c r="R35" s="272">
        <f t="shared" si="36"/>
        <v>763.72665103843383</v>
      </c>
      <c r="S35" s="272">
        <f t="shared" si="36"/>
        <v>869.5019823610869</v>
      </c>
      <c r="T35" s="272">
        <f t="shared" si="36"/>
        <v>968.91657454773087</v>
      </c>
      <c r="U35" s="272">
        <f t="shared" si="36"/>
        <v>1061.8280589451874</v>
      </c>
      <c r="V35" s="272">
        <f t="shared" si="36"/>
        <v>1148.8330988371667</v>
      </c>
      <c r="W35" s="272">
        <f t="shared" si="36"/>
        <v>1231.8710936046773</v>
      </c>
      <c r="X35" s="272">
        <f t="shared" si="36"/>
        <v>1312.7364649660105</v>
      </c>
      <c r="Y35" s="272">
        <f t="shared" si="36"/>
        <v>1392.4546784446686</v>
      </c>
      <c r="Z35" s="272">
        <f t="shared" si="36"/>
        <v>1471.5219328654885</v>
      </c>
      <c r="AA35" s="272">
        <f t="shared" si="36"/>
        <v>1550.1787272957936</v>
      </c>
      <c r="AB35" s="272">
        <f t="shared" si="36"/>
        <v>1628.5505313440813</v>
      </c>
      <c r="AC35" s="272">
        <f t="shared" si="36"/>
        <v>1706.7093396248422</v>
      </c>
      <c r="AD35" s="272">
        <f t="shared" si="36"/>
        <v>1784.7004527129693</v>
      </c>
      <c r="AE35" s="272">
        <f t="shared" si="36"/>
        <v>1862.5546992282309</v>
      </c>
      <c r="AF35" s="272">
        <f t="shared" si="36"/>
        <v>1940.2943974746647</v>
      </c>
      <c r="AG35" s="272">
        <f t="shared" si="36"/>
        <v>2017.9364799312852</v>
      </c>
      <c r="AH35" s="272">
        <f t="shared" si="36"/>
        <v>2095.4942526552622</v>
      </c>
      <c r="AI35" s="272">
        <f t="shared" si="36"/>
        <v>2172.9784629774103</v>
      </c>
      <c r="AJ35" s="272">
        <f t="shared" si="36"/>
        <v>2250.3980273615412</v>
      </c>
      <c r="AK35" s="272">
        <f t="shared" si="36"/>
        <v>2327.7607244289829</v>
      </c>
      <c r="AL35" s="272">
        <f t="shared" si="36"/>
        <v>2405.0745686124769</v>
      </c>
      <c r="AM35" s="272">
        <f t="shared" si="36"/>
        <v>2482.3526978417017</v>
      </c>
      <c r="AN35" s="272">
        <f t="shared" ref="AN35:BH35" si="37">(AN19+AN25-AN29)/1000</f>
        <v>2559.6341060323293</v>
      </c>
      <c r="AO35" s="272">
        <f t="shared" si="37"/>
        <v>2637.0709625381555</v>
      </c>
      <c r="AP35" s="272">
        <f t="shared" si="37"/>
        <v>2715.219479444856</v>
      </c>
      <c r="AQ35" s="272">
        <f t="shared" si="37"/>
        <v>2795.2755107986177</v>
      </c>
      <c r="AR35" s="272">
        <f t="shared" si="37"/>
        <v>2877.5534109685796</v>
      </c>
      <c r="AS35" s="272">
        <f t="shared" si="37"/>
        <v>2960.7185955598502</v>
      </c>
      <c r="AT35" s="272">
        <f t="shared" si="37"/>
        <v>3043.8509569025728</v>
      </c>
      <c r="AU35" s="272">
        <f t="shared" si="37"/>
        <v>3126.7065214880295</v>
      </c>
      <c r="AV35" s="272">
        <f t="shared" si="37"/>
        <v>3209.2549491616574</v>
      </c>
      <c r="AW35" s="272">
        <f t="shared" si="37"/>
        <v>3291.5096308900638</v>
      </c>
      <c r="AX35" s="274">
        <f t="shared" si="37"/>
        <v>3373.4903766240827</v>
      </c>
      <c r="AY35" s="272">
        <f t="shared" si="37"/>
        <v>4208.0306674806452</v>
      </c>
      <c r="AZ35" s="272">
        <f t="shared" si="37"/>
        <v>5016.883439576819</v>
      </c>
      <c r="BA35" s="272">
        <f t="shared" si="37"/>
        <v>5557.4560982073008</v>
      </c>
      <c r="BB35" s="272">
        <f t="shared" si="37"/>
        <v>5874.2082821424719</v>
      </c>
      <c r="BC35" s="275">
        <f t="shared" si="37"/>
        <v>6074.0575573354681</v>
      </c>
      <c r="BD35" s="272">
        <f t="shared" si="37"/>
        <v>6209.4415809225238</v>
      </c>
      <c r="BE35" s="272">
        <f t="shared" si="37"/>
        <v>6307.8966268809618</v>
      </c>
      <c r="BF35" s="272">
        <f t="shared" si="37"/>
        <v>6384.5455569802862</v>
      </c>
      <c r="BG35" s="272">
        <f t="shared" si="37"/>
        <v>6447.9220943017563</v>
      </c>
      <c r="BH35" s="311">
        <f t="shared" si="37"/>
        <v>6503.1362129163072</v>
      </c>
      <c r="BI35" s="312" t="s">
        <v>73</v>
      </c>
      <c r="BJ35" s="171"/>
      <c r="BK35" s="232"/>
      <c r="BL35" s="7"/>
      <c r="BM35" s="7"/>
      <c r="BN35" s="7"/>
      <c r="BO35" s="7"/>
      <c r="BQ35" s="10"/>
    </row>
    <row r="36" spans="1:69" ht="20.100000000000001" customHeight="1" thickBot="1">
      <c r="A36" s="171"/>
      <c r="B36" s="229" t="s">
        <v>117</v>
      </c>
      <c r="C36" s="365" t="s">
        <v>200</v>
      </c>
      <c r="D36" s="366"/>
      <c r="E36" s="366"/>
      <c r="F36" s="313" t="s">
        <v>74</v>
      </c>
      <c r="G36" s="314">
        <f t="shared" ref="G36:BG36" si="38">(G32+G33+G34)/1000000</f>
        <v>0</v>
      </c>
      <c r="H36" s="314">
        <f t="shared" si="38"/>
        <v>-101.96807582016119</v>
      </c>
      <c r="I36" s="314">
        <f t="shared" si="38"/>
        <v>-56.691266476106556</v>
      </c>
      <c r="J36" s="314">
        <f t="shared" si="38"/>
        <v>111.96359937721482</v>
      </c>
      <c r="K36" s="314">
        <f t="shared" si="38"/>
        <v>117.81275018661945</v>
      </c>
      <c r="L36" s="314">
        <f t="shared" si="38"/>
        <v>126.52812658032357</v>
      </c>
      <c r="M36" s="314">
        <f t="shared" si="38"/>
        <v>108.60173036717148</v>
      </c>
      <c r="N36" s="314">
        <f t="shared" si="38"/>
        <v>112.41749608796542</v>
      </c>
      <c r="O36" s="314">
        <f t="shared" si="38"/>
        <v>139.85165687107028</v>
      </c>
      <c r="P36" s="314">
        <f t="shared" si="38"/>
        <v>162.93550365956744</v>
      </c>
      <c r="Q36" s="314">
        <f t="shared" si="38"/>
        <v>182.36978221315474</v>
      </c>
      <c r="R36" s="314">
        <f t="shared" si="38"/>
        <v>200.11971325966888</v>
      </c>
      <c r="S36" s="314">
        <f t="shared" si="38"/>
        <v>216.46557830419181</v>
      </c>
      <c r="T36" s="314">
        <f t="shared" si="38"/>
        <v>231.45693671425974</v>
      </c>
      <c r="U36" s="314">
        <f t="shared" si="38"/>
        <v>244.98425807396794</v>
      </c>
      <c r="V36" s="314">
        <f t="shared" si="38"/>
        <v>257.10311138490363</v>
      </c>
      <c r="W36" s="314">
        <f t="shared" si="38"/>
        <v>268.13918573061318</v>
      </c>
      <c r="X36" s="314">
        <f t="shared" si="38"/>
        <v>278.40166472281703</v>
      </c>
      <c r="Y36" s="314">
        <f t="shared" si="38"/>
        <v>288.06188977561635</v>
      </c>
      <c r="Z36" s="314">
        <f t="shared" si="38"/>
        <v>297.19645832521405</v>
      </c>
      <c r="AA36" s="314">
        <f t="shared" si="38"/>
        <v>305.83745925172946</v>
      </c>
      <c r="AB36" s="314">
        <f t="shared" si="38"/>
        <v>313.99805464495563</v>
      </c>
      <c r="AC36" s="314">
        <f t="shared" si="38"/>
        <v>321.68341015314633</v>
      </c>
      <c r="AD36" s="314">
        <f t="shared" si="38"/>
        <v>328.8952541200357</v>
      </c>
      <c r="AE36" s="314">
        <f t="shared" si="38"/>
        <v>335.633822119336</v>
      </c>
      <c r="AF36" s="314">
        <f t="shared" si="38"/>
        <v>341.89871354655889</v>
      </c>
      <c r="AG36" s="314">
        <f t="shared" si="38"/>
        <v>347.68927931027514</v>
      </c>
      <c r="AH36" s="314">
        <f t="shared" si="38"/>
        <v>353.00479926110279</v>
      </c>
      <c r="AI36" s="314">
        <f t="shared" si="38"/>
        <v>357.84456063863001</v>
      </c>
      <c r="AJ36" s="314">
        <f t="shared" si="38"/>
        <v>362.20788232815158</v>
      </c>
      <c r="AK36" s="314">
        <f t="shared" si="38"/>
        <v>366.09408173140753</v>
      </c>
      <c r="AL36" s="314">
        <f t="shared" si="38"/>
        <v>369.50227689295178</v>
      </c>
      <c r="AM36" s="314">
        <f t="shared" si="38"/>
        <v>372.43050324367402</v>
      </c>
      <c r="AN36" s="314">
        <f t="shared" si="38"/>
        <v>374.87182270593871</v>
      </c>
      <c r="AO36" s="314">
        <f t="shared" si="38"/>
        <v>376.79783965218166</v>
      </c>
      <c r="AP36" s="314">
        <f t="shared" si="38"/>
        <v>378.10374095039322</v>
      </c>
      <c r="AQ36" s="314">
        <f t="shared" si="38"/>
        <v>378.56377805238952</v>
      </c>
      <c r="AR36" s="314">
        <f t="shared" si="38"/>
        <v>378.11877059537221</v>
      </c>
      <c r="AS36" s="314">
        <f t="shared" si="38"/>
        <v>377.02115843680679</v>
      </c>
      <c r="AT36" s="314">
        <f t="shared" si="38"/>
        <v>375.44502087654462</v>
      </c>
      <c r="AU36" s="314">
        <f t="shared" si="38"/>
        <v>373.43662718749169</v>
      </c>
      <c r="AV36" s="314">
        <f t="shared" si="38"/>
        <v>371.00185232575899</v>
      </c>
      <c r="AW36" s="314">
        <f t="shared" si="38"/>
        <v>368.13829095039847</v>
      </c>
      <c r="AX36" s="315">
        <f t="shared" si="38"/>
        <v>364.84231147826569</v>
      </c>
      <c r="AY36" s="314">
        <f t="shared" si="38"/>
        <v>304.79753481568491</v>
      </c>
      <c r="AZ36" s="314">
        <f t="shared" si="38"/>
        <v>198.93657591985058</v>
      </c>
      <c r="BA36" s="314">
        <f t="shared" si="38"/>
        <v>121.08344414730784</v>
      </c>
      <c r="BB36" s="314">
        <f t="shared" si="38"/>
        <v>79.930917278291602</v>
      </c>
      <c r="BC36" s="316">
        <f t="shared" si="38"/>
        <v>57.954919081112948</v>
      </c>
      <c r="BD36" s="314">
        <f t="shared" si="38"/>
        <v>46.400133702947258</v>
      </c>
      <c r="BE36" s="314">
        <f t="shared" si="38"/>
        <v>40.573074321895803</v>
      </c>
      <c r="BF36" s="314">
        <f t="shared" si="38"/>
        <v>37.836549074236956</v>
      </c>
      <c r="BG36" s="314">
        <f t="shared" si="38"/>
        <v>36.662992702838658</v>
      </c>
      <c r="BH36" s="317">
        <f>(BH32+BH33+BH34)/1000000</f>
        <v>36.107232533963668</v>
      </c>
      <c r="BI36" s="318" t="s">
        <v>66</v>
      </c>
      <c r="BJ36" s="171"/>
      <c r="BK36" s="232"/>
      <c r="BL36" s="7"/>
      <c r="BM36" s="7"/>
      <c r="BN36" s="7"/>
      <c r="BO36" s="7"/>
      <c r="BQ36" s="10"/>
    </row>
    <row r="37" spans="1:69" ht="20.100000000000001" customHeight="1">
      <c r="A37" s="171"/>
      <c r="B37" s="231"/>
      <c r="C37" s="231"/>
      <c r="D37" s="231"/>
      <c r="E37" s="223"/>
      <c r="F37" s="257"/>
      <c r="G37" s="257"/>
      <c r="H37" s="257"/>
      <c r="I37" s="237" t="s">
        <v>76</v>
      </c>
      <c r="J37" s="171"/>
      <c r="K37" s="171"/>
      <c r="L37" s="237" t="s">
        <v>119</v>
      </c>
      <c r="M37" s="171"/>
      <c r="N37" s="171"/>
      <c r="O37" s="237" t="s">
        <v>120</v>
      </c>
      <c r="P37" s="171"/>
      <c r="Q37" s="171"/>
      <c r="R37" s="171"/>
      <c r="S37" s="235" t="s">
        <v>67</v>
      </c>
      <c r="T37" s="171"/>
      <c r="U37" s="171"/>
      <c r="V37" s="171"/>
      <c r="W37" s="171"/>
      <c r="X37" s="171"/>
      <c r="Y37" s="171"/>
      <c r="Z37" s="171"/>
      <c r="AA37" s="171"/>
      <c r="AB37" s="171"/>
      <c r="AC37" s="171"/>
      <c r="AD37" s="171"/>
      <c r="AE37" s="171"/>
      <c r="AF37" s="171"/>
      <c r="AG37" s="255"/>
      <c r="AH37" s="171"/>
      <c r="AI37" s="171"/>
      <c r="AJ37" s="171"/>
      <c r="AK37" s="171"/>
      <c r="AL37" s="171"/>
      <c r="AM37" s="171"/>
      <c r="AN37" s="171"/>
      <c r="AO37" s="171"/>
      <c r="AP37" s="171"/>
      <c r="AQ37" s="171"/>
      <c r="AR37" s="171"/>
      <c r="AS37" s="171"/>
      <c r="AT37" s="171"/>
      <c r="AU37" s="171"/>
      <c r="AV37" s="171"/>
      <c r="AW37" s="171"/>
      <c r="AX37" s="227"/>
      <c r="AY37" s="171"/>
      <c r="AZ37" s="171"/>
      <c r="BA37" s="171"/>
      <c r="BB37" s="171"/>
      <c r="BC37" s="228"/>
      <c r="BD37" s="171"/>
      <c r="BE37" s="171"/>
      <c r="BF37" s="171"/>
      <c r="BG37" s="171"/>
      <c r="BH37" s="171"/>
      <c r="BI37" s="171"/>
      <c r="BJ37" s="171"/>
      <c r="BK37" s="171"/>
    </row>
    <row r="38" spans="1:69" ht="20.100000000000001" customHeight="1">
      <c r="A38" s="171"/>
      <c r="B38" s="231"/>
      <c r="C38" s="231"/>
      <c r="D38" s="231"/>
      <c r="E38" s="223"/>
      <c r="F38" s="319"/>
      <c r="G38" s="320"/>
      <c r="H38" s="257"/>
      <c r="I38" s="321">
        <f>Kalkulator!E53</f>
        <v>1500</v>
      </c>
      <c r="J38" s="322">
        <f>Kalkulator!I53</f>
        <v>-500</v>
      </c>
      <c r="K38" s="171"/>
      <c r="L38" s="323">
        <v>0</v>
      </c>
      <c r="M38" s="324">
        <f>BH35</f>
        <v>6503.1362129163072</v>
      </c>
      <c r="N38" s="171"/>
      <c r="O38" s="325">
        <f>BH36</f>
        <v>36.107232533963668</v>
      </c>
      <c r="P38" s="326">
        <f>(O38+Q38)/2</f>
        <v>207.3355052931766</v>
      </c>
      <c r="Q38" s="327">
        <f>MAX(G36:BH36)</f>
        <v>378.56377805238952</v>
      </c>
      <c r="R38" s="171"/>
      <c r="S38" s="328">
        <v>0</v>
      </c>
      <c r="T38" s="329">
        <f>(S38+U38)/2</f>
        <v>65.031362129163071</v>
      </c>
      <c r="U38" s="330">
        <f>MIN(20,0.05*h)/1000*U39</f>
        <v>130.06272425832614</v>
      </c>
      <c r="V38" s="171"/>
      <c r="W38" s="171"/>
      <c r="X38" s="171"/>
      <c r="Y38" s="171"/>
      <c r="Z38" s="171"/>
      <c r="AA38" s="171"/>
      <c r="AB38" s="171"/>
      <c r="AC38" s="171"/>
      <c r="AD38" s="171"/>
      <c r="AE38" s="171"/>
      <c r="AF38" s="171"/>
      <c r="AG38" s="255"/>
      <c r="AH38" s="171"/>
      <c r="AI38" s="171"/>
      <c r="AJ38" s="171"/>
      <c r="AK38" s="171"/>
      <c r="AL38" s="171"/>
      <c r="AM38" s="171"/>
      <c r="AN38" s="171"/>
      <c r="AO38" s="171"/>
      <c r="AP38" s="171"/>
      <c r="AQ38" s="171"/>
      <c r="AR38" s="171"/>
      <c r="AS38" s="171"/>
      <c r="AT38" s="171"/>
      <c r="AU38" s="171"/>
      <c r="AV38" s="171"/>
      <c r="AW38" s="171"/>
      <c r="AX38" s="227"/>
      <c r="AY38" s="171"/>
      <c r="AZ38" s="171"/>
      <c r="BA38" s="171"/>
      <c r="BB38" s="171"/>
      <c r="BC38" s="228"/>
      <c r="BD38" s="171"/>
      <c r="BE38" s="171"/>
      <c r="BF38" s="171"/>
      <c r="BG38" s="171"/>
      <c r="BH38" s="171"/>
      <c r="BI38" s="171"/>
      <c r="BJ38" s="171"/>
      <c r="BK38" s="171"/>
    </row>
    <row r="39" spans="1:69" ht="20.100000000000001" customHeight="1">
      <c r="A39" s="171"/>
      <c r="B39" s="331"/>
      <c r="C39" s="331"/>
      <c r="D39" s="231"/>
      <c r="E39" s="223"/>
      <c r="F39" s="257"/>
      <c r="G39" s="257"/>
      <c r="H39" s="257"/>
      <c r="I39" s="332">
        <f>Kalkulator!F53</f>
        <v>320</v>
      </c>
      <c r="J39" s="333">
        <f>Kalkulator!J53</f>
        <v>50</v>
      </c>
      <c r="K39" s="171"/>
      <c r="L39" s="334">
        <v>0</v>
      </c>
      <c r="M39" s="335">
        <f>BH36</f>
        <v>36.107232533963668</v>
      </c>
      <c r="N39" s="171"/>
      <c r="O39" s="336">
        <f>0.1*F_cA/1000</f>
        <v>562.5</v>
      </c>
      <c r="P39" s="337">
        <f>O39</f>
        <v>562.5</v>
      </c>
      <c r="Q39" s="338">
        <f>O39</f>
        <v>562.5</v>
      </c>
      <c r="R39" s="171"/>
      <c r="S39" s="339">
        <v>0</v>
      </c>
      <c r="T39" s="340">
        <f>(S39+U39)/2</f>
        <v>3251.5681064581536</v>
      </c>
      <c r="U39" s="341">
        <f>M38</f>
        <v>6503.1362129163072</v>
      </c>
      <c r="V39" s="171"/>
      <c r="W39" s="171"/>
      <c r="X39" s="171"/>
      <c r="Y39" s="171"/>
      <c r="Z39" s="171"/>
      <c r="AA39" s="171"/>
      <c r="AB39" s="171"/>
      <c r="AC39" s="171"/>
      <c r="AD39" s="171"/>
      <c r="AE39" s="171"/>
      <c r="AF39" s="171"/>
      <c r="AG39" s="255"/>
      <c r="AH39" s="171"/>
      <c r="AI39" s="171"/>
      <c r="AJ39" s="171"/>
      <c r="AK39" s="171"/>
      <c r="AL39" s="171"/>
      <c r="AM39" s="171"/>
      <c r="AN39" s="171"/>
      <c r="AO39" s="171"/>
      <c r="AP39" s="171"/>
      <c r="AQ39" s="171"/>
      <c r="AR39" s="171"/>
      <c r="AS39" s="171"/>
      <c r="AT39" s="171"/>
      <c r="AU39" s="171"/>
      <c r="AV39" s="171"/>
      <c r="AW39" s="171"/>
      <c r="AX39" s="227"/>
      <c r="AY39" s="171"/>
      <c r="AZ39" s="171"/>
      <c r="BA39" s="171"/>
      <c r="BB39" s="171"/>
      <c r="BC39" s="228"/>
      <c r="BD39" s="171"/>
      <c r="BE39" s="171"/>
      <c r="BF39" s="171"/>
      <c r="BG39" s="171"/>
      <c r="BH39" s="171"/>
      <c r="BI39" s="171"/>
      <c r="BJ39" s="171"/>
      <c r="BK39" s="171"/>
    </row>
    <row r="40" spans="1:69" ht="20.100000000000001" customHeight="1">
      <c r="A40" s="171"/>
      <c r="B40" s="256"/>
      <c r="C40" s="256"/>
      <c r="D40" s="231"/>
      <c r="E40" s="223"/>
      <c r="F40" s="257"/>
      <c r="G40" s="257"/>
      <c r="H40" s="226">
        <v>0</v>
      </c>
      <c r="I40" s="342">
        <v>1</v>
      </c>
      <c r="J40" s="343">
        <v>2</v>
      </c>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255"/>
      <c r="AH40" s="171"/>
      <c r="AI40" s="171"/>
      <c r="AJ40" s="171"/>
      <c r="AK40" s="171"/>
      <c r="AL40" s="171"/>
      <c r="AM40" s="171"/>
      <c r="AN40" s="171"/>
      <c r="AO40" s="171"/>
      <c r="AP40" s="171"/>
      <c r="AQ40" s="171"/>
      <c r="AR40" s="171"/>
      <c r="AS40" s="171"/>
      <c r="AT40" s="171"/>
      <c r="AU40" s="171"/>
      <c r="AV40" s="171"/>
      <c r="AW40" s="171"/>
      <c r="AX40" s="227"/>
      <c r="AY40" s="171"/>
      <c r="AZ40" s="171"/>
      <c r="BA40" s="171"/>
      <c r="BB40" s="171"/>
      <c r="BC40" s="228"/>
      <c r="BD40" s="171"/>
      <c r="BE40" s="171"/>
      <c r="BF40" s="171"/>
      <c r="BG40" s="171"/>
      <c r="BH40" s="171"/>
      <c r="BI40" s="171"/>
      <c r="BJ40" s="171"/>
      <c r="BK40" s="171"/>
      <c r="BM40" s="4"/>
    </row>
    <row r="41" spans="1:69" ht="20.100000000000001" customHeight="1">
      <c r="A41" s="171"/>
      <c r="B41" s="256"/>
      <c r="C41" s="344"/>
      <c r="D41" s="231"/>
      <c r="E41" s="303" t="s">
        <v>69</v>
      </c>
      <c r="F41" s="230" t="s">
        <v>109</v>
      </c>
      <c r="G41" s="226" t="s">
        <v>68</v>
      </c>
      <c r="H41" s="232">
        <f t="shared" ref="H41:AM41" si="39">I35-H35</f>
        <v>-360.34776997891856</v>
      </c>
      <c r="I41" s="345">
        <f t="shared" si="39"/>
        <v>879.03426967276937</v>
      </c>
      <c r="J41" s="232">
        <f t="shared" si="39"/>
        <v>20.182962049939533</v>
      </c>
      <c r="K41" s="232">
        <f t="shared" si="39"/>
        <v>37.902768862116261</v>
      </c>
      <c r="L41" s="232">
        <f t="shared" si="39"/>
        <v>-100.50439888208646</v>
      </c>
      <c r="M41" s="232">
        <f t="shared" si="39"/>
        <v>17.088087028748959</v>
      </c>
      <c r="N41" s="232">
        <f t="shared" si="39"/>
        <v>144.6077323489227</v>
      </c>
      <c r="O41" s="232">
        <f t="shared" si="39"/>
        <v>129.42266765868527</v>
      </c>
      <c r="P41" s="232">
        <f t="shared" si="39"/>
        <v>122.84613266474537</v>
      </c>
      <c r="Q41" s="232">
        <f t="shared" si="39"/>
        <v>113.05402536625706</v>
      </c>
      <c r="R41" s="232">
        <f t="shared" si="39"/>
        <v>105.77533132265307</v>
      </c>
      <c r="S41" s="232">
        <f t="shared" si="39"/>
        <v>99.414592186643972</v>
      </c>
      <c r="T41" s="232">
        <f t="shared" si="39"/>
        <v>92.911484397456547</v>
      </c>
      <c r="U41" s="232">
        <f t="shared" si="39"/>
        <v>87.005039891979322</v>
      </c>
      <c r="V41" s="232">
        <f t="shared" si="39"/>
        <v>83.037994767510554</v>
      </c>
      <c r="W41" s="232">
        <f t="shared" si="39"/>
        <v>80.865371361333246</v>
      </c>
      <c r="X41" s="232">
        <f t="shared" si="39"/>
        <v>79.718213478658072</v>
      </c>
      <c r="Y41" s="232">
        <f t="shared" si="39"/>
        <v>79.067254420819836</v>
      </c>
      <c r="Z41" s="232">
        <f t="shared" si="39"/>
        <v>78.656794430305126</v>
      </c>
      <c r="AA41" s="232">
        <f t="shared" si="39"/>
        <v>78.371804048287686</v>
      </c>
      <c r="AB41" s="232">
        <f t="shared" si="39"/>
        <v>78.158808280760923</v>
      </c>
      <c r="AC41" s="232">
        <f t="shared" si="39"/>
        <v>77.991113088127122</v>
      </c>
      <c r="AD41" s="232">
        <f t="shared" si="39"/>
        <v>77.854246515261593</v>
      </c>
      <c r="AE41" s="232">
        <f t="shared" si="39"/>
        <v>77.739698246433818</v>
      </c>
      <c r="AF41" s="232">
        <f t="shared" si="39"/>
        <v>77.642082456620528</v>
      </c>
      <c r="AG41" s="232">
        <f t="shared" si="39"/>
        <v>77.557772723976996</v>
      </c>
      <c r="AH41" s="232">
        <f t="shared" si="39"/>
        <v>77.484210322148101</v>
      </c>
      <c r="AI41" s="232">
        <f t="shared" si="39"/>
        <v>77.419564384130808</v>
      </c>
      <c r="AJ41" s="232">
        <f t="shared" si="39"/>
        <v>77.362697067441786</v>
      </c>
      <c r="AK41" s="232">
        <f t="shared" si="39"/>
        <v>77.313844183493984</v>
      </c>
      <c r="AL41" s="232">
        <f t="shared" si="39"/>
        <v>77.27812922922476</v>
      </c>
      <c r="AM41" s="232">
        <f t="shared" si="39"/>
        <v>77.281408190627644</v>
      </c>
      <c r="AN41" s="232">
        <f t="shared" ref="AN41:BG41" si="40">AO35-AN35</f>
        <v>77.436856505826199</v>
      </c>
      <c r="AO41" s="232">
        <f t="shared" si="40"/>
        <v>78.148516906700479</v>
      </c>
      <c r="AP41" s="232">
        <f t="shared" si="40"/>
        <v>80.056031353761682</v>
      </c>
      <c r="AQ41" s="232">
        <f t="shared" si="40"/>
        <v>82.277900169961868</v>
      </c>
      <c r="AR41" s="232">
        <f t="shared" si="40"/>
        <v>83.165184591270645</v>
      </c>
      <c r="AS41" s="232">
        <f t="shared" si="40"/>
        <v>83.132361342722561</v>
      </c>
      <c r="AT41" s="232">
        <f t="shared" si="40"/>
        <v>82.855564585456705</v>
      </c>
      <c r="AU41" s="232">
        <f t="shared" si="40"/>
        <v>82.548427673627884</v>
      </c>
      <c r="AV41" s="232">
        <f t="shared" si="40"/>
        <v>82.254681728406467</v>
      </c>
      <c r="AW41" s="232">
        <f t="shared" si="40"/>
        <v>81.98074573401891</v>
      </c>
      <c r="AX41" s="346">
        <f t="shared" si="40"/>
        <v>834.54029085656248</v>
      </c>
      <c r="AY41" s="232">
        <f t="shared" si="40"/>
        <v>808.85277209617379</v>
      </c>
      <c r="AZ41" s="232">
        <f t="shared" si="40"/>
        <v>540.57265863048178</v>
      </c>
      <c r="BA41" s="232">
        <f t="shared" si="40"/>
        <v>316.75218393517116</v>
      </c>
      <c r="BB41" s="232">
        <f t="shared" si="40"/>
        <v>199.84927519299617</v>
      </c>
      <c r="BC41" s="239">
        <f t="shared" si="40"/>
        <v>135.38402358705571</v>
      </c>
      <c r="BD41" s="232">
        <f t="shared" si="40"/>
        <v>98.45504595843795</v>
      </c>
      <c r="BE41" s="232">
        <f t="shared" si="40"/>
        <v>76.648930099324389</v>
      </c>
      <c r="BF41" s="232">
        <f t="shared" si="40"/>
        <v>63.376537321470096</v>
      </c>
      <c r="BG41" s="232">
        <f t="shared" si="40"/>
        <v>55.214118614550898</v>
      </c>
      <c r="BH41" s="347"/>
      <c r="BI41" s="232"/>
      <c r="BJ41" s="232"/>
      <c r="BK41" s="232"/>
      <c r="BL41" s="7"/>
      <c r="BM41" s="7"/>
      <c r="BN41" s="7"/>
      <c r="BO41" s="7"/>
      <c r="BQ41" s="10"/>
    </row>
    <row r="42" spans="1:69" ht="20.100000000000001" customHeight="1">
      <c r="A42" s="171"/>
      <c r="B42" s="256"/>
      <c r="C42" s="344"/>
      <c r="D42" s="231"/>
      <c r="E42" s="303" t="s">
        <v>71</v>
      </c>
      <c r="F42" s="230" t="s">
        <v>110</v>
      </c>
      <c r="G42" s="226" t="s">
        <v>70</v>
      </c>
      <c r="H42" s="232">
        <f t="shared" ref="H42:AM42" si="41">I36-H36</f>
        <v>45.276809344054634</v>
      </c>
      <c r="I42" s="345">
        <f t="shared" si="41"/>
        <v>168.65486585332138</v>
      </c>
      <c r="J42" s="232">
        <f t="shared" si="41"/>
        <v>5.8491508094046338</v>
      </c>
      <c r="K42" s="232">
        <f t="shared" si="41"/>
        <v>8.7153763937041191</v>
      </c>
      <c r="L42" s="232">
        <f t="shared" si="41"/>
        <v>-17.926396213152088</v>
      </c>
      <c r="M42" s="232">
        <f t="shared" si="41"/>
        <v>3.8157657207939337</v>
      </c>
      <c r="N42" s="232">
        <f t="shared" si="41"/>
        <v>27.434160783104858</v>
      </c>
      <c r="O42" s="232">
        <f t="shared" si="41"/>
        <v>23.083846788497169</v>
      </c>
      <c r="P42" s="232">
        <f t="shared" si="41"/>
        <v>19.434278553587291</v>
      </c>
      <c r="Q42" s="232">
        <f t="shared" si="41"/>
        <v>17.749931046514149</v>
      </c>
      <c r="R42" s="232">
        <f t="shared" si="41"/>
        <v>16.345865044522924</v>
      </c>
      <c r="S42" s="232">
        <f t="shared" si="41"/>
        <v>14.991358410067932</v>
      </c>
      <c r="T42" s="232">
        <f t="shared" si="41"/>
        <v>13.527321359708196</v>
      </c>
      <c r="U42" s="232">
        <f t="shared" si="41"/>
        <v>12.118853310935691</v>
      </c>
      <c r="V42" s="232">
        <f t="shared" si="41"/>
        <v>11.036074345709551</v>
      </c>
      <c r="W42" s="232">
        <f t="shared" si="41"/>
        <v>10.262478992203853</v>
      </c>
      <c r="X42" s="232">
        <f t="shared" si="41"/>
        <v>9.6602250527993192</v>
      </c>
      <c r="Y42" s="232">
        <f t="shared" si="41"/>
        <v>9.1345685495977023</v>
      </c>
      <c r="Z42" s="232">
        <f t="shared" si="41"/>
        <v>8.6410009265154031</v>
      </c>
      <c r="AA42" s="232">
        <f t="shared" si="41"/>
        <v>8.1605953932261741</v>
      </c>
      <c r="AB42" s="232">
        <f t="shared" si="41"/>
        <v>7.6853555081906961</v>
      </c>
      <c r="AC42" s="232">
        <f t="shared" si="41"/>
        <v>7.2118439668893757</v>
      </c>
      <c r="AD42" s="232">
        <f t="shared" si="41"/>
        <v>6.7385679993003009</v>
      </c>
      <c r="AE42" s="232">
        <f t="shared" si="41"/>
        <v>6.2648914272228922</v>
      </c>
      <c r="AF42" s="232">
        <f t="shared" si="41"/>
        <v>5.7905657637162449</v>
      </c>
      <c r="AG42" s="232">
        <f t="shared" si="41"/>
        <v>5.3155199508276496</v>
      </c>
      <c r="AH42" s="232">
        <f t="shared" si="41"/>
        <v>4.8397613775272248</v>
      </c>
      <c r="AI42" s="232">
        <f t="shared" si="41"/>
        <v>4.3633216895215696</v>
      </c>
      <c r="AJ42" s="232">
        <f t="shared" si="41"/>
        <v>3.8861994032559437</v>
      </c>
      <c r="AK42" s="232">
        <f t="shared" si="41"/>
        <v>3.4081951615442563</v>
      </c>
      <c r="AL42" s="232">
        <f t="shared" si="41"/>
        <v>2.928226350722241</v>
      </c>
      <c r="AM42" s="232">
        <f t="shared" si="41"/>
        <v>2.441319462264687</v>
      </c>
      <c r="AN42" s="232">
        <f t="shared" ref="AN42:BG42" si="42">AO36-AN36</f>
        <v>1.9260169462429531</v>
      </c>
      <c r="AO42" s="232">
        <f t="shared" si="42"/>
        <v>1.3059012982115519</v>
      </c>
      <c r="AP42" s="232">
        <f t="shared" si="42"/>
        <v>0.46003710199630632</v>
      </c>
      <c r="AQ42" s="232">
        <f t="shared" si="42"/>
        <v>-0.44500745701731148</v>
      </c>
      <c r="AR42" s="232">
        <f t="shared" si="42"/>
        <v>-1.0976121585654255</v>
      </c>
      <c r="AS42" s="232">
        <f t="shared" si="42"/>
        <v>-1.5761375602621683</v>
      </c>
      <c r="AT42" s="232">
        <f t="shared" si="42"/>
        <v>-2.008393689052923</v>
      </c>
      <c r="AU42" s="232">
        <f t="shared" si="42"/>
        <v>-2.4347748617327056</v>
      </c>
      <c r="AV42" s="232">
        <f t="shared" si="42"/>
        <v>-2.8635613753605185</v>
      </c>
      <c r="AW42" s="232">
        <f t="shared" si="42"/>
        <v>-3.2959794721327853</v>
      </c>
      <c r="AX42" s="346">
        <f t="shared" si="42"/>
        <v>-60.044776662580773</v>
      </c>
      <c r="AY42" s="232">
        <f t="shared" si="42"/>
        <v>-105.86095889583433</v>
      </c>
      <c r="AZ42" s="232">
        <f t="shared" si="42"/>
        <v>-77.853131772542739</v>
      </c>
      <c r="BA42" s="232">
        <f t="shared" si="42"/>
        <v>-41.152526869016242</v>
      </c>
      <c r="BB42" s="232">
        <f t="shared" si="42"/>
        <v>-21.975998197178654</v>
      </c>
      <c r="BC42" s="239">
        <f t="shared" si="42"/>
        <v>-11.55478537816569</v>
      </c>
      <c r="BD42" s="232">
        <f t="shared" si="42"/>
        <v>-5.8270593810514555</v>
      </c>
      <c r="BE42" s="232">
        <f t="shared" si="42"/>
        <v>-2.7365252476588466</v>
      </c>
      <c r="BF42" s="232">
        <f t="shared" si="42"/>
        <v>-1.1735563713982984</v>
      </c>
      <c r="BG42" s="232">
        <f t="shared" si="42"/>
        <v>-0.5557601688749898</v>
      </c>
      <c r="BH42" s="347"/>
      <c r="BI42" s="232"/>
      <c r="BJ42" s="232"/>
      <c r="BK42" s="232"/>
      <c r="BL42" s="7"/>
      <c r="BM42" s="7"/>
      <c r="BN42" s="7"/>
      <c r="BO42" s="7"/>
      <c r="BQ42" s="10"/>
    </row>
    <row r="43" spans="1:69">
      <c r="A43" s="171"/>
      <c r="B43" s="256"/>
      <c r="C43" s="256"/>
      <c r="D43" s="231"/>
      <c r="E43" s="223"/>
      <c r="F43" s="224"/>
      <c r="G43" s="224"/>
      <c r="H43" s="224"/>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247"/>
      <c r="AH43" s="171"/>
      <c r="AI43" s="171"/>
      <c r="AJ43" s="171"/>
      <c r="AK43" s="171"/>
      <c r="AL43" s="171"/>
      <c r="AM43" s="171"/>
      <c r="AN43" s="171"/>
      <c r="AO43" s="171"/>
      <c r="AP43" s="171"/>
      <c r="AQ43" s="171"/>
      <c r="AR43" s="171"/>
      <c r="AS43" s="171"/>
      <c r="AT43" s="171"/>
      <c r="AU43" s="171"/>
      <c r="AV43" s="171"/>
      <c r="AW43" s="171"/>
      <c r="AX43" s="227"/>
      <c r="AY43" s="171"/>
      <c r="AZ43" s="171"/>
      <c r="BA43" s="171"/>
      <c r="BB43" s="171"/>
      <c r="BC43" s="228"/>
      <c r="BD43" s="171"/>
      <c r="BE43" s="171"/>
      <c r="BF43" s="171"/>
      <c r="BG43" s="171"/>
      <c r="BH43" s="171"/>
      <c r="BI43" s="171"/>
    </row>
    <row r="44" spans="1:69">
      <c r="A44" s="171"/>
      <c r="B44" s="256"/>
      <c r="C44" s="256"/>
      <c r="D44" s="231"/>
      <c r="E44" s="223"/>
      <c r="F44" s="224"/>
      <c r="G44" s="224"/>
      <c r="H44" s="224"/>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247"/>
      <c r="AH44" s="171"/>
      <c r="AI44" s="171"/>
      <c r="AJ44" s="171"/>
      <c r="AK44" s="171"/>
      <c r="AL44" s="171"/>
      <c r="AM44" s="171"/>
      <c r="AN44" s="171"/>
      <c r="AO44" s="171"/>
      <c r="AP44" s="171"/>
      <c r="AQ44" s="171"/>
      <c r="AR44" s="171"/>
      <c r="AS44" s="171"/>
      <c r="AT44" s="171"/>
      <c r="AU44" s="171"/>
      <c r="AV44" s="171"/>
      <c r="AW44" s="171"/>
      <c r="AX44" s="227"/>
      <c r="AY44" s="171"/>
      <c r="AZ44" s="171"/>
      <c r="BA44" s="171"/>
      <c r="BB44" s="171"/>
      <c r="BC44" s="228"/>
      <c r="BD44" s="171"/>
      <c r="BE44" s="171"/>
      <c r="BF44" s="171"/>
      <c r="BG44" s="171"/>
      <c r="BH44" s="171"/>
      <c r="BI44" s="171"/>
    </row>
  </sheetData>
  <sheetProtection password="E6A6" sheet="1" objects="1" scenarios="1" selectLockedCells="1" selectUnlockedCells="1"/>
  <mergeCells count="12">
    <mergeCell ref="AX11:BA11"/>
    <mergeCell ref="AM10:AN10"/>
    <mergeCell ref="R11:S11"/>
    <mergeCell ref="C36:E36"/>
    <mergeCell ref="N3:Q3"/>
    <mergeCell ref="B5:D5"/>
    <mergeCell ref="K2:N2"/>
    <mergeCell ref="C35:E35"/>
    <mergeCell ref="D22:E22"/>
    <mergeCell ref="D27:E27"/>
    <mergeCell ref="AG9:AH9"/>
    <mergeCell ref="L4:O4"/>
  </mergeCells>
  <phoneticPr fontId="0" type="noConversion"/>
  <conditionalFormatting sqref="AQ4">
    <cfRule type="cellIs" dxfId="0" priority="1" stopIfTrue="1" operator="equal">
      <formula>0</formula>
    </cfRule>
  </conditionalFormatting>
  <hyperlinks>
    <hyperlink ref="L4" r:id="rId1"/>
  </hyperlinks>
  <printOptions horizontalCentered="1"/>
  <pageMargins left="0.34" right="0.39370078740157483" top="1.04" bottom="0.47244094488188981" header="0" footer="0"/>
  <pageSetup paperSize="9" scale="30" fitToWidth="2" orientation="landscape"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51"/>
  <sheetViews>
    <sheetView showGridLines="0" zoomScale="75" workbookViewId="0">
      <selection activeCell="B1" sqref="B1:D30"/>
    </sheetView>
  </sheetViews>
  <sheetFormatPr defaultRowHeight="13.2"/>
  <cols>
    <col min="1" max="1" width="3.6640625" customWidth="1"/>
    <col min="2" max="2" width="11.6640625" customWidth="1"/>
    <col min="3" max="3" width="15.33203125" customWidth="1"/>
    <col min="4" max="4" width="60.6640625" customWidth="1"/>
  </cols>
  <sheetData>
    <row r="1" spans="2:4" ht="13.8">
      <c r="B1" s="81" t="s">
        <v>228</v>
      </c>
      <c r="C1" s="82"/>
      <c r="D1" s="82"/>
    </row>
    <row r="2" spans="2:4" ht="13.8">
      <c r="B2" s="81"/>
      <c r="C2" s="82"/>
      <c r="D2" s="82"/>
    </row>
    <row r="3" spans="2:4" ht="13.8">
      <c r="B3" s="81" t="s">
        <v>226</v>
      </c>
      <c r="C3" s="82"/>
      <c r="D3" s="82"/>
    </row>
    <row r="4" spans="2:4">
      <c r="B4" s="372" t="s">
        <v>13</v>
      </c>
      <c r="C4" s="372"/>
      <c r="D4" s="372"/>
    </row>
    <row r="5" spans="2:4">
      <c r="B5" s="372"/>
      <c r="C5" s="372"/>
      <c r="D5" s="372"/>
    </row>
    <row r="6" spans="2:4">
      <c r="B6" s="372"/>
      <c r="C6" s="372"/>
      <c r="D6" s="372"/>
    </row>
    <row r="7" spans="2:4">
      <c r="B7" s="372"/>
      <c r="C7" s="372"/>
      <c r="D7" s="372"/>
    </row>
    <row r="8" spans="2:4" ht="15" customHeight="1">
      <c r="B8" s="372"/>
      <c r="C8" s="372"/>
      <c r="D8" s="372"/>
    </row>
    <row r="9" spans="2:4">
      <c r="B9" s="372"/>
      <c r="C9" s="372"/>
      <c r="D9" s="372"/>
    </row>
    <row r="10" spans="2:4">
      <c r="B10" s="372"/>
      <c r="C10" s="372"/>
      <c r="D10" s="372"/>
    </row>
    <row r="11" spans="2:4" ht="58.2" customHeight="1">
      <c r="B11" s="372"/>
      <c r="C11" s="372"/>
      <c r="D11" s="372"/>
    </row>
    <row r="12" spans="2:4" ht="16.5" customHeight="1">
      <c r="B12" s="169"/>
      <c r="C12" s="169"/>
      <c r="D12" s="169"/>
    </row>
    <row r="13" spans="2:4" ht="13.8">
      <c r="B13" s="81" t="s">
        <v>229</v>
      </c>
      <c r="C13" s="82"/>
      <c r="D13" s="82"/>
    </row>
    <row r="14" spans="2:4">
      <c r="B14" s="372" t="s">
        <v>240</v>
      </c>
      <c r="C14" s="372"/>
      <c r="D14" s="372"/>
    </row>
    <row r="15" spans="2:4">
      <c r="B15" s="372"/>
      <c r="C15" s="372"/>
      <c r="D15" s="372"/>
    </row>
    <row r="16" spans="2:4">
      <c r="B16" s="372"/>
      <c r="C16" s="372"/>
      <c r="D16" s="372"/>
    </row>
    <row r="17" spans="2:10">
      <c r="B17" s="372"/>
      <c r="C17" s="372"/>
      <c r="D17" s="372"/>
    </row>
    <row r="18" spans="2:10" ht="15" customHeight="1">
      <c r="B18" s="372"/>
      <c r="C18" s="372"/>
      <c r="D18" s="372"/>
    </row>
    <row r="19" spans="2:10">
      <c r="B19" s="372"/>
      <c r="C19" s="372"/>
      <c r="D19" s="372"/>
    </row>
    <row r="20" spans="2:10">
      <c r="B20" s="372"/>
      <c r="C20" s="372"/>
      <c r="D20" s="372"/>
    </row>
    <row r="21" spans="2:10" ht="13.8">
      <c r="B21" s="83"/>
      <c r="C21" s="83"/>
      <c r="D21" s="83"/>
    </row>
    <row r="22" spans="2:10" ht="13.8">
      <c r="B22" s="81" t="s">
        <v>227</v>
      </c>
      <c r="C22" s="84"/>
      <c r="D22" s="84"/>
    </row>
    <row r="23" spans="2:10" ht="13.8">
      <c r="B23" s="82" t="s">
        <v>225</v>
      </c>
      <c r="C23" s="84"/>
      <c r="D23" s="84"/>
    </row>
    <row r="24" spans="2:10" ht="13.8">
      <c r="C24" s="84"/>
      <c r="D24" s="84"/>
    </row>
    <row r="25" spans="2:10" ht="15.6">
      <c r="B25" s="86" t="s">
        <v>224</v>
      </c>
    </row>
    <row r="26" spans="2:10" ht="14.4" thickBot="1">
      <c r="B26" s="86"/>
    </row>
    <row r="27" spans="2:10" ht="18">
      <c r="B27" s="153" t="s">
        <v>18</v>
      </c>
      <c r="C27" s="154" t="s">
        <v>222</v>
      </c>
      <c r="D27" s="155" t="s">
        <v>223</v>
      </c>
      <c r="E27" s="15"/>
      <c r="F27" s="15"/>
      <c r="G27" s="15"/>
      <c r="H27" s="15"/>
      <c r="I27" s="15"/>
      <c r="J27" s="16"/>
    </row>
    <row r="28" spans="2:10" ht="27.6">
      <c r="B28" s="149">
        <f>DATE(99,8,3)</f>
        <v>36375</v>
      </c>
      <c r="C28" s="147" t="s">
        <v>12</v>
      </c>
      <c r="D28" s="148" t="s">
        <v>11</v>
      </c>
      <c r="E28" s="17"/>
      <c r="F28" s="17"/>
      <c r="G28" s="17"/>
      <c r="H28" s="17"/>
      <c r="I28" s="17"/>
      <c r="J28" s="18"/>
    </row>
    <row r="29" spans="2:10" ht="28.2" thickBot="1">
      <c r="B29" s="150">
        <f>DATE(17,6,25)</f>
        <v>6386</v>
      </c>
      <c r="C29" s="151" t="s">
        <v>221</v>
      </c>
      <c r="D29" s="152" t="s">
        <v>264</v>
      </c>
      <c r="E29" s="17"/>
      <c r="F29" s="17"/>
      <c r="G29" s="17"/>
      <c r="H29" s="17"/>
      <c r="I29" s="17"/>
      <c r="J29" s="18"/>
    </row>
    <row r="30" spans="2:10" ht="28.2" thickBot="1">
      <c r="B30" s="150">
        <f>DATE(18,3,30)</f>
        <v>6664</v>
      </c>
      <c r="C30" s="151" t="s">
        <v>241</v>
      </c>
      <c r="D30" s="152" t="s">
        <v>265</v>
      </c>
      <c r="E30" s="17"/>
      <c r="F30" s="17"/>
      <c r="G30" s="17"/>
      <c r="H30" s="17"/>
      <c r="I30" s="17"/>
      <c r="J30" s="18"/>
    </row>
    <row r="31" spans="2:10" ht="18">
      <c r="B31" s="20"/>
      <c r="C31" s="21"/>
      <c r="D31" s="22"/>
      <c r="E31" s="17"/>
      <c r="F31" s="17"/>
      <c r="G31" s="17"/>
      <c r="H31" s="17"/>
      <c r="I31" s="17"/>
      <c r="J31" s="18"/>
    </row>
    <row r="32" spans="2:10" ht="18">
      <c r="B32" s="20"/>
      <c r="C32" s="21"/>
      <c r="D32" s="22"/>
      <c r="E32" s="17"/>
      <c r="F32" s="17"/>
      <c r="G32" s="17"/>
      <c r="H32" s="17"/>
      <c r="I32" s="17"/>
      <c r="J32" s="18"/>
    </row>
    <row r="33" spans="2:10" ht="18">
      <c r="B33" s="20"/>
      <c r="C33" s="21"/>
      <c r="D33" s="22"/>
      <c r="E33" s="17"/>
      <c r="F33" s="17"/>
      <c r="G33" s="17"/>
      <c r="H33" s="17"/>
      <c r="I33" s="17"/>
      <c r="J33" s="18"/>
    </row>
    <row r="34" spans="2:10" ht="18">
      <c r="B34" s="20"/>
      <c r="C34" s="21"/>
      <c r="D34" s="22"/>
      <c r="E34" s="17"/>
      <c r="F34" s="17"/>
      <c r="G34" s="17"/>
      <c r="H34" s="17"/>
      <c r="I34" s="17"/>
      <c r="J34" s="18"/>
    </row>
    <row r="35" spans="2:10" ht="18">
      <c r="B35" s="20"/>
      <c r="C35" s="21"/>
      <c r="D35" s="22"/>
      <c r="E35" s="17"/>
      <c r="F35" s="17"/>
      <c r="G35" s="17"/>
      <c r="H35" s="17"/>
      <c r="I35" s="17"/>
      <c r="J35" s="18"/>
    </row>
    <row r="36" spans="2:10" ht="18">
      <c r="B36" s="20"/>
      <c r="C36" s="21"/>
      <c r="D36" s="22"/>
      <c r="E36" s="17"/>
      <c r="F36" s="17"/>
      <c r="G36" s="17"/>
      <c r="H36" s="17"/>
      <c r="I36" s="17"/>
      <c r="J36" s="18"/>
    </row>
    <row r="37" spans="2:10" ht="18">
      <c r="B37" s="20"/>
      <c r="C37" s="21"/>
      <c r="D37" s="22"/>
      <c r="E37" s="17"/>
      <c r="F37" s="17"/>
      <c r="G37" s="17"/>
      <c r="H37" s="17"/>
      <c r="I37" s="17"/>
      <c r="J37" s="18"/>
    </row>
    <row r="38" spans="2:10" ht="18">
      <c r="B38" s="20"/>
      <c r="C38" s="21"/>
      <c r="D38" s="22"/>
      <c r="E38" s="17"/>
      <c r="F38" s="17"/>
      <c r="G38" s="17"/>
      <c r="H38" s="17"/>
      <c r="I38" s="17"/>
      <c r="J38" s="18"/>
    </row>
    <row r="39" spans="2:10" ht="18">
      <c r="E39" s="17"/>
      <c r="F39" s="17"/>
      <c r="G39" s="17"/>
      <c r="H39" s="17"/>
      <c r="I39" s="17"/>
      <c r="J39" s="18"/>
    </row>
    <row r="40" spans="2:10" ht="18">
      <c r="B40" s="20"/>
      <c r="C40" s="21"/>
      <c r="D40" s="22"/>
      <c r="E40" s="17"/>
      <c r="F40" s="17"/>
      <c r="G40" s="17"/>
      <c r="H40" s="17"/>
      <c r="I40" s="17"/>
      <c r="J40" s="18"/>
    </row>
    <row r="41" spans="2:10" ht="18">
      <c r="B41" s="20"/>
      <c r="C41" s="21"/>
      <c r="D41" s="22"/>
      <c r="E41" s="17"/>
      <c r="F41" s="17"/>
      <c r="G41" s="17"/>
      <c r="H41" s="17"/>
      <c r="I41" s="17"/>
      <c r="J41" s="18"/>
    </row>
    <row r="42" spans="2:10" ht="18">
      <c r="B42" s="20"/>
      <c r="C42" s="21"/>
      <c r="D42" s="22"/>
      <c r="E42" s="17"/>
      <c r="F42" s="17"/>
      <c r="G42" s="17"/>
      <c r="H42" s="17"/>
      <c r="I42" s="17"/>
      <c r="J42" s="18"/>
    </row>
    <row r="43" spans="2:10" ht="18">
      <c r="B43" s="20"/>
      <c r="C43" s="21"/>
      <c r="D43" s="22"/>
      <c r="E43" s="17"/>
      <c r="F43" s="17"/>
      <c r="G43" s="17"/>
      <c r="H43" s="17"/>
      <c r="I43" s="17"/>
      <c r="J43" s="18"/>
    </row>
    <row r="44" spans="2:10" ht="18">
      <c r="B44" s="20"/>
      <c r="C44" s="21"/>
      <c r="D44" s="22"/>
      <c r="E44" s="17"/>
      <c r="F44" s="17"/>
      <c r="G44" s="17"/>
      <c r="H44" s="17"/>
      <c r="I44" s="17"/>
      <c r="J44" s="18"/>
    </row>
    <row r="45" spans="2:10" ht="18">
      <c r="B45" s="20"/>
      <c r="C45" s="21"/>
      <c r="D45" s="22"/>
      <c r="E45" s="17"/>
      <c r="F45" s="17"/>
      <c r="G45" s="17"/>
      <c r="H45" s="17"/>
      <c r="I45" s="17"/>
      <c r="J45" s="18"/>
    </row>
    <row r="46" spans="2:10" ht="18">
      <c r="B46" s="22"/>
      <c r="C46" s="21"/>
      <c r="D46" s="22"/>
      <c r="E46" s="17"/>
      <c r="F46" s="17"/>
      <c r="G46" s="17"/>
      <c r="H46" s="17"/>
      <c r="I46" s="17"/>
      <c r="J46" s="18"/>
    </row>
    <row r="47" spans="2:10" ht="18">
      <c r="B47" s="17"/>
      <c r="C47" s="19"/>
      <c r="D47" s="17"/>
      <c r="E47" s="17"/>
      <c r="F47" s="17"/>
      <c r="G47" s="17"/>
      <c r="H47" s="17"/>
      <c r="I47" s="17"/>
      <c r="J47" s="18"/>
    </row>
    <row r="48" spans="2:10" ht="18">
      <c r="B48" s="17"/>
      <c r="C48" s="19"/>
      <c r="D48" s="17"/>
      <c r="E48" s="17"/>
      <c r="F48" s="17"/>
      <c r="G48" s="17"/>
      <c r="H48" s="17"/>
      <c r="I48" s="17"/>
      <c r="J48" s="18"/>
    </row>
    <row r="49" spans="2:10" ht="18">
      <c r="B49" s="17"/>
      <c r="C49" s="19"/>
      <c r="D49" s="17"/>
      <c r="E49" s="17"/>
      <c r="F49" s="17"/>
      <c r="G49" s="17"/>
      <c r="H49" s="17"/>
      <c r="I49" s="17"/>
      <c r="J49" s="18"/>
    </row>
    <row r="50" spans="2:10" ht="18">
      <c r="B50" s="16"/>
      <c r="C50" s="23"/>
      <c r="D50" s="16"/>
      <c r="E50" s="16"/>
      <c r="F50" s="16"/>
      <c r="G50" s="16"/>
      <c r="H50" s="16"/>
      <c r="I50" s="16"/>
      <c r="J50" s="16"/>
    </row>
    <row r="51" spans="2:10" ht="18">
      <c r="B51" s="16"/>
      <c r="C51" s="23"/>
      <c r="D51" s="16"/>
      <c r="E51" s="16"/>
      <c r="F51" s="16"/>
      <c r="G51" s="16"/>
      <c r="H51" s="16"/>
      <c r="I51" s="16"/>
      <c r="J51" s="16"/>
    </row>
  </sheetData>
  <sheetProtection password="E6A6" sheet="1" objects="1" scenarios="1" selectLockedCells="1" selectUnlockedCells="1"/>
  <mergeCells count="2">
    <mergeCell ref="B4:D11"/>
    <mergeCell ref="B14:D20"/>
  </mergeCells>
  <phoneticPr fontId="0" type="noConversion"/>
  <printOptions horizontalCentered="1"/>
  <pageMargins left="0.62992125984251968" right="0.39370078740157483" top="0.47244094488188981" bottom="0.47244094488188981" header="0" footer="0"/>
  <pageSetup paperSize="9" scale="4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0"/>
  <sheetViews>
    <sheetView workbookViewId="0">
      <selection activeCell="H20" sqref="H20"/>
    </sheetView>
  </sheetViews>
  <sheetFormatPr defaultRowHeight="13.2"/>
  <sheetData>
    <row r="2" spans="2:22">
      <c r="B2" s="25"/>
      <c r="C2" s="24"/>
      <c r="D2" s="24"/>
      <c r="E2" s="24"/>
      <c r="F2" s="24"/>
      <c r="G2" s="24"/>
      <c r="H2" s="24"/>
      <c r="I2" s="24"/>
      <c r="J2" s="24"/>
      <c r="K2" s="24"/>
      <c r="L2" s="24"/>
      <c r="M2" s="24"/>
      <c r="N2" s="24"/>
      <c r="O2" s="24"/>
      <c r="P2" s="24"/>
      <c r="Q2" s="24"/>
      <c r="R2" s="24"/>
      <c r="S2" s="24"/>
      <c r="T2" s="24"/>
      <c r="U2" s="24"/>
      <c r="V2" s="24"/>
    </row>
    <row r="3" spans="2:22" ht="15">
      <c r="B3" s="28" t="str">
        <f>"Wykres interakcji M-N dla  przekroju "&amp;FIXED(Kalkulator!C14,0)&amp;" x "&amp;FIXED(Kalkulator!C15,0)&amp;"  z betonu C"&amp;FIXED(Kalkulator!C10,0)&amp;G4</f>
        <v>Wykres interakcji M-N dla  przekroju 450 x 500  z betonu C35</v>
      </c>
      <c r="C3" s="24"/>
      <c r="D3" s="24"/>
      <c r="E3" s="24"/>
      <c r="F3" s="24"/>
      <c r="G3" s="24"/>
      <c r="H3" s="24"/>
      <c r="I3" s="24"/>
      <c r="J3" s="24"/>
      <c r="K3" s="24"/>
      <c r="L3" s="24"/>
      <c r="M3" s="24"/>
      <c r="N3" s="24"/>
      <c r="O3" s="24"/>
      <c r="P3" s="24"/>
      <c r="Q3" s="24"/>
      <c r="R3" s="24"/>
      <c r="S3" s="24"/>
      <c r="T3" s="24"/>
      <c r="U3" s="24"/>
      <c r="V3" s="24"/>
    </row>
    <row r="4" spans="2:22" ht="15">
      <c r="B4" s="24"/>
      <c r="C4" s="33"/>
      <c r="D4" s="33"/>
      <c r="E4" s="33"/>
      <c r="F4" s="33"/>
      <c r="G4" s="33"/>
      <c r="H4" s="33"/>
      <c r="I4" s="24"/>
      <c r="J4" s="24"/>
      <c r="K4" s="24"/>
      <c r="L4" s="24"/>
      <c r="M4" s="24"/>
      <c r="N4" s="24"/>
      <c r="O4" s="24"/>
      <c r="P4" s="24"/>
      <c r="Q4" s="24"/>
      <c r="R4" s="24"/>
      <c r="S4" s="24"/>
      <c r="T4" s="24"/>
      <c r="U4" s="24"/>
      <c r="V4" s="24"/>
    </row>
    <row r="5" spans="2:22" ht="15">
      <c r="B5" s="108" t="s">
        <v>187</v>
      </c>
      <c r="C5" s="108"/>
      <c r="D5" s="108"/>
      <c r="E5" s="108"/>
      <c r="F5" s="24"/>
      <c r="G5" s="24"/>
      <c r="H5" s="24"/>
      <c r="I5" s="24"/>
      <c r="J5" s="24"/>
      <c r="K5" s="24"/>
      <c r="L5" s="24"/>
      <c r="M5" s="24"/>
      <c r="N5" s="24"/>
      <c r="O5" s="24"/>
      <c r="P5" s="24"/>
      <c r="Q5" s="24"/>
      <c r="R5" s="24"/>
      <c r="S5" s="24"/>
      <c r="T5" s="24"/>
      <c r="U5" s="24"/>
      <c r="V5" s="24"/>
    </row>
    <row r="6" spans="2:22" ht="15">
      <c r="B6" s="39" t="s">
        <v>188</v>
      </c>
      <c r="C6" s="39"/>
      <c r="D6" s="33">
        <f>MAX(1,Kalkulator!C15/Kalkulator!C14)</f>
        <v>1.1111111111111112</v>
      </c>
      <c r="E6" s="33">
        <f>MIN(1,Kalkulator!C15/Kalkulator!C14)</f>
        <v>1</v>
      </c>
      <c r="F6" s="33"/>
      <c r="G6" s="40" t="s">
        <v>189</v>
      </c>
      <c r="H6" s="33">
        <f>(L7-C7)/(Kalkulator!D19-1)</f>
        <v>82</v>
      </c>
      <c r="I6" s="33">
        <f>(L7-C7)/(Kalkulator!D20-1)</f>
        <v>410</v>
      </c>
      <c r="J6" s="24"/>
      <c r="K6" s="24"/>
      <c r="L6" s="24"/>
      <c r="M6" s="24"/>
      <c r="N6" s="24"/>
      <c r="O6" s="24"/>
      <c r="P6" s="24"/>
      <c r="Q6" s="24"/>
      <c r="R6" s="24"/>
      <c r="S6" s="24"/>
      <c r="T6" s="24"/>
      <c r="U6" s="24"/>
      <c r="V6" s="24"/>
    </row>
    <row r="7" spans="2:22" ht="15">
      <c r="B7" s="41">
        <f>B10+15</f>
        <v>45</v>
      </c>
      <c r="C7" s="41">
        <f>B7</f>
        <v>45</v>
      </c>
      <c r="D7" s="42">
        <f t="shared" ref="D7:K7" si="0">MIN($L7,C7+$H6)</f>
        <v>127</v>
      </c>
      <c r="E7" s="42">
        <f t="shared" si="0"/>
        <v>209</v>
      </c>
      <c r="F7" s="42">
        <f t="shared" si="0"/>
        <v>291</v>
      </c>
      <c r="G7" s="42">
        <f t="shared" si="0"/>
        <v>373</v>
      </c>
      <c r="H7" s="42">
        <f t="shared" si="0"/>
        <v>455</v>
      </c>
      <c r="I7" s="42">
        <f t="shared" si="0"/>
        <v>455</v>
      </c>
      <c r="J7" s="42">
        <f t="shared" si="0"/>
        <v>455</v>
      </c>
      <c r="K7" s="42">
        <f t="shared" si="0"/>
        <v>455</v>
      </c>
      <c r="L7" s="41">
        <f>D10-15</f>
        <v>455</v>
      </c>
      <c r="M7" s="41">
        <f>L7</f>
        <v>455</v>
      </c>
      <c r="N7" s="42">
        <f t="shared" ref="N7:U7" si="1">MAX($V7,M7-$I6)</f>
        <v>45</v>
      </c>
      <c r="O7" s="42">
        <f t="shared" si="1"/>
        <v>45</v>
      </c>
      <c r="P7" s="42">
        <f t="shared" si="1"/>
        <v>45</v>
      </c>
      <c r="Q7" s="42">
        <f t="shared" si="1"/>
        <v>45</v>
      </c>
      <c r="R7" s="42">
        <f t="shared" si="1"/>
        <v>45</v>
      </c>
      <c r="S7" s="42">
        <f t="shared" si="1"/>
        <v>45</v>
      </c>
      <c r="T7" s="42">
        <f t="shared" si="1"/>
        <v>45</v>
      </c>
      <c r="U7" s="42">
        <f t="shared" si="1"/>
        <v>45</v>
      </c>
      <c r="V7" s="41">
        <f>B7</f>
        <v>45</v>
      </c>
    </row>
    <row r="8" spans="2:22" ht="15">
      <c r="B8" s="41">
        <f>B11+15</f>
        <v>45</v>
      </c>
      <c r="C8" s="41">
        <f>C11-15</f>
        <v>405</v>
      </c>
      <c r="D8" s="42">
        <f t="shared" ref="D8:K8" si="2">C8</f>
        <v>405</v>
      </c>
      <c r="E8" s="42">
        <f t="shared" si="2"/>
        <v>405</v>
      </c>
      <c r="F8" s="42">
        <f t="shared" si="2"/>
        <v>405</v>
      </c>
      <c r="G8" s="42">
        <f t="shared" si="2"/>
        <v>405</v>
      </c>
      <c r="H8" s="42">
        <f t="shared" si="2"/>
        <v>405</v>
      </c>
      <c r="I8" s="42">
        <f t="shared" si="2"/>
        <v>405</v>
      </c>
      <c r="J8" s="42">
        <f t="shared" si="2"/>
        <v>405</v>
      </c>
      <c r="K8" s="42">
        <f t="shared" si="2"/>
        <v>405</v>
      </c>
      <c r="L8" s="41">
        <f>C8</f>
        <v>405</v>
      </c>
      <c r="M8" s="41">
        <f>B8</f>
        <v>45</v>
      </c>
      <c r="N8" s="42">
        <f t="shared" ref="N8:U8" si="3">M8</f>
        <v>45</v>
      </c>
      <c r="O8" s="42">
        <f t="shared" si="3"/>
        <v>45</v>
      </c>
      <c r="P8" s="42">
        <f t="shared" si="3"/>
        <v>45</v>
      </c>
      <c r="Q8" s="42">
        <f t="shared" si="3"/>
        <v>45</v>
      </c>
      <c r="R8" s="42">
        <f t="shared" si="3"/>
        <v>45</v>
      </c>
      <c r="S8" s="42">
        <f t="shared" si="3"/>
        <v>45</v>
      </c>
      <c r="T8" s="42">
        <f t="shared" si="3"/>
        <v>45</v>
      </c>
      <c r="U8" s="42">
        <f t="shared" si="3"/>
        <v>45</v>
      </c>
      <c r="V8" s="41">
        <f>B8</f>
        <v>45</v>
      </c>
    </row>
    <row r="9" spans="2:22" ht="15">
      <c r="B9" s="41"/>
      <c r="C9" s="41"/>
      <c r="D9" s="42"/>
      <c r="E9" s="42"/>
      <c r="F9" s="42"/>
      <c r="G9" s="42"/>
      <c r="H9" s="42"/>
      <c r="I9" s="42"/>
      <c r="J9" s="42"/>
      <c r="K9" s="42"/>
      <c r="L9" s="41"/>
      <c r="M9" s="41"/>
      <c r="N9" s="42"/>
      <c r="O9" s="42"/>
      <c r="P9" s="42"/>
      <c r="Q9" s="42"/>
      <c r="R9" s="42"/>
      <c r="S9" s="42"/>
      <c r="T9" s="42"/>
      <c r="U9" s="42"/>
      <c r="V9" s="41"/>
    </row>
    <row r="10" spans="2:22" ht="15">
      <c r="B10" s="33">
        <f>c_r</f>
        <v>30</v>
      </c>
      <c r="C10" s="33">
        <f>B10</f>
        <v>30</v>
      </c>
      <c r="D10" s="33">
        <f>D12-Kalkulator!F16</f>
        <v>470</v>
      </c>
      <c r="E10" s="33">
        <f>D10</f>
        <v>470</v>
      </c>
      <c r="F10" s="33">
        <f>B10</f>
        <v>30</v>
      </c>
      <c r="G10" s="24"/>
      <c r="H10" s="24"/>
      <c r="I10" s="24"/>
      <c r="J10" s="24"/>
      <c r="K10" s="24"/>
      <c r="L10" s="24"/>
      <c r="M10" s="24"/>
      <c r="N10" s="24"/>
      <c r="O10" s="24"/>
      <c r="P10" s="24"/>
      <c r="Q10" s="24"/>
      <c r="R10" s="24"/>
      <c r="S10" s="24"/>
      <c r="T10" s="24"/>
      <c r="U10" s="24"/>
      <c r="V10" s="24"/>
    </row>
    <row r="11" spans="2:22" ht="15">
      <c r="B11" s="33">
        <f>Kalkulator!F15</f>
        <v>30</v>
      </c>
      <c r="C11" s="33">
        <f>C13-Kalkulator!F14</f>
        <v>420</v>
      </c>
      <c r="D11" s="33">
        <f>C11</f>
        <v>420</v>
      </c>
      <c r="E11" s="33">
        <f>F11</f>
        <v>30</v>
      </c>
      <c r="F11" s="33">
        <f>B11</f>
        <v>30</v>
      </c>
      <c r="G11" s="42"/>
      <c r="H11" s="42"/>
      <c r="I11" s="42"/>
      <c r="J11" s="42"/>
      <c r="K11" s="42"/>
      <c r="L11" s="42"/>
      <c r="M11" s="41"/>
      <c r="N11" s="41"/>
      <c r="O11" s="42"/>
      <c r="P11" s="42"/>
      <c r="Q11" s="42"/>
      <c r="R11" s="42"/>
      <c r="S11" s="42"/>
      <c r="T11" s="42"/>
      <c r="U11" s="42"/>
      <c r="V11" s="42"/>
    </row>
    <row r="12" spans="2:22" ht="15">
      <c r="B12" s="33">
        <v>0</v>
      </c>
      <c r="C12" s="33">
        <v>0</v>
      </c>
      <c r="D12" s="33">
        <f>b</f>
        <v>500</v>
      </c>
      <c r="E12" s="33">
        <f>b</f>
        <v>500</v>
      </c>
      <c r="F12" s="33">
        <v>0</v>
      </c>
      <c r="G12" s="33"/>
      <c r="H12" s="33"/>
      <c r="I12" s="24"/>
      <c r="J12" s="24"/>
      <c r="K12" s="24"/>
      <c r="L12" s="24"/>
      <c r="M12" s="24"/>
      <c r="N12" s="24"/>
      <c r="O12" s="24"/>
      <c r="P12" s="24"/>
      <c r="Q12" s="24"/>
      <c r="R12" s="24"/>
      <c r="S12" s="33"/>
      <c r="T12" s="33"/>
      <c r="U12" s="33"/>
      <c r="V12" s="24"/>
    </row>
    <row r="13" spans="2:22" ht="15">
      <c r="B13" s="33">
        <v>0</v>
      </c>
      <c r="C13" s="33">
        <f>h</f>
        <v>450</v>
      </c>
      <c r="D13" s="33">
        <f>h</f>
        <v>450</v>
      </c>
      <c r="E13" s="33">
        <v>0</v>
      </c>
      <c r="F13" s="33">
        <v>0</v>
      </c>
      <c r="G13" s="33"/>
      <c r="H13" s="33"/>
      <c r="I13" s="24"/>
      <c r="J13" s="24"/>
      <c r="K13" s="24"/>
      <c r="L13" s="24"/>
      <c r="M13" s="24"/>
      <c r="N13" s="24"/>
      <c r="O13" s="24"/>
      <c r="P13" s="24"/>
      <c r="Q13" s="24"/>
      <c r="R13" s="24"/>
      <c r="S13" s="33"/>
      <c r="T13" s="33"/>
      <c r="U13" s="33"/>
      <c r="V13" s="24"/>
    </row>
    <row r="15" spans="2:22" ht="15">
      <c r="B15" s="108" t="s">
        <v>220</v>
      </c>
    </row>
    <row r="16" spans="2:22">
      <c r="B16" s="146" t="s">
        <v>206</v>
      </c>
    </row>
    <row r="17" spans="2:2">
      <c r="B17" s="143" t="s">
        <v>204</v>
      </c>
    </row>
    <row r="18" spans="2:2">
      <c r="B18" s="143" t="s">
        <v>207</v>
      </c>
    </row>
    <row r="19" spans="2:2" ht="13.8" thickBot="1">
      <c r="B19" s="144" t="s">
        <v>205</v>
      </c>
    </row>
    <row r="20" spans="2:2" ht="13.8" thickBot="1">
      <c r="B20" s="145">
        <v>4</v>
      </c>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71</vt:i4>
      </vt:variant>
    </vt:vector>
  </HeadingPairs>
  <TitlesOfParts>
    <vt:vector size="75" baseType="lpstr">
      <vt:lpstr>Kalkulator</vt:lpstr>
      <vt:lpstr>Oblicz</vt:lpstr>
      <vt:lpstr>Komentarze</vt:lpstr>
      <vt:lpstr>Robol</vt:lpstr>
      <vt:lpstr>a_cl</vt:lpstr>
      <vt:lpstr>a_cu</vt:lpstr>
      <vt:lpstr>A_sc</vt:lpstr>
      <vt:lpstr>A_smaxB</vt:lpstr>
      <vt:lpstr>A_smaxS</vt:lpstr>
      <vt:lpstr>A_sminB</vt:lpstr>
      <vt:lpstr>A_sminS</vt:lpstr>
      <vt:lpstr>A_st</vt:lpstr>
      <vt:lpstr>A_su</vt:lpstr>
      <vt:lpstr>a_tl</vt:lpstr>
      <vt:lpstr>a_tu</vt:lpstr>
      <vt:lpstr>b</vt:lpstr>
      <vt:lpstr>beta1</vt:lpstr>
      <vt:lpstr>beta2</vt:lpstr>
      <vt:lpstr>beta3</vt:lpstr>
      <vt:lpstr>beta4</vt:lpstr>
      <vt:lpstr>c_l</vt:lpstr>
      <vt:lpstr>c_r</vt:lpstr>
      <vt:lpstr>c_u</vt:lpstr>
      <vt:lpstr>d_0</vt:lpstr>
      <vt:lpstr>d_cl</vt:lpstr>
      <vt:lpstr>d_cu</vt:lpstr>
      <vt:lpstr>d_tl</vt:lpstr>
      <vt:lpstr>d_tu</vt:lpstr>
      <vt:lpstr>Dx_1</vt:lpstr>
      <vt:lpstr>Dx_2</vt:lpstr>
      <vt:lpstr>e_c2</vt:lpstr>
      <vt:lpstr>E_cu</vt:lpstr>
      <vt:lpstr>e_cu2</vt:lpstr>
      <vt:lpstr>E_s</vt:lpstr>
      <vt:lpstr>e_ud</vt:lpstr>
      <vt:lpstr>e_yd</vt:lpstr>
      <vt:lpstr>F_cA</vt:lpstr>
      <vt:lpstr>f_cd</vt:lpstr>
      <vt:lpstr>f_ck</vt:lpstr>
      <vt:lpstr>f_ctm</vt:lpstr>
      <vt:lpstr>F_l</vt:lpstr>
      <vt:lpstr>F_u</vt:lpstr>
      <vt:lpstr>f_yd</vt:lpstr>
      <vt:lpstr>f_yk</vt:lpstr>
      <vt:lpstr>f_ynet</vt:lpstr>
      <vt:lpstr>g_c</vt:lpstr>
      <vt:lpstr>g_s</vt:lpstr>
      <vt:lpstr>h</vt:lpstr>
      <vt:lpstr>k_s</vt:lpstr>
      <vt:lpstr>klasa</vt:lpstr>
      <vt:lpstr>N</vt:lpstr>
      <vt:lpstr>N_2</vt:lpstr>
      <vt:lpstr>N_Ed1</vt:lpstr>
      <vt:lpstr>N_Ed2</vt:lpstr>
      <vt:lpstr>n_l</vt:lpstr>
      <vt:lpstr>n_u</vt:lpstr>
      <vt:lpstr>Kalkulator!Obszar_wydruku</vt:lpstr>
      <vt:lpstr>Oblicz!Obszar_wydruku</vt:lpstr>
      <vt:lpstr>R_s</vt:lpstr>
      <vt:lpstr>Rodzaj_elem</vt:lpstr>
      <vt:lpstr>S_c</vt:lpstr>
      <vt:lpstr>S_maxB_1</vt:lpstr>
      <vt:lpstr>S_maxB_2</vt:lpstr>
      <vt:lpstr>S_MaxS_N1</vt:lpstr>
      <vt:lpstr>S_maxS_N2</vt:lpstr>
      <vt:lpstr>S_min</vt:lpstr>
      <vt:lpstr>s_smax</vt:lpstr>
      <vt:lpstr>S_t</vt:lpstr>
      <vt:lpstr>x_C</vt:lpstr>
      <vt:lpstr>x_end</vt:lpstr>
      <vt:lpstr>x_M</vt:lpstr>
      <vt:lpstr>x_max</vt:lpstr>
      <vt:lpstr>x_Nmax</vt:lpstr>
      <vt:lpstr>x_start</vt:lpstr>
      <vt:lpstr>x_T</vt:lpstr>
    </vt:vector>
  </TitlesOfParts>
  <Company>Concrete Innovation &amp; Design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Webster</dc:creator>
  <cp:lastModifiedBy>Admin</cp:lastModifiedBy>
  <cp:lastPrinted>2017-06-29T09:04:28Z</cp:lastPrinted>
  <dcterms:created xsi:type="dcterms:W3CDTF">1998-02-24T15:57:17Z</dcterms:created>
  <dcterms:modified xsi:type="dcterms:W3CDTF">2018-04-02T07:14:30Z</dcterms:modified>
</cp:coreProperties>
</file>