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. Prosto - wewn" sheetId="2" r:id="rId1"/>
    <sheet name="2. Brzegowe" sheetId="8" r:id="rId2"/>
    <sheet name="3 Okrągły z głowicą" sheetId="1" r:id="rId3"/>
    <sheet name="4. Otwory" sheetId="9" r:id="rId4"/>
    <sheet name="5 Stopa fundamentowa" sheetId="7" r:id="rId5"/>
    <sheet name="6 Płyta fundamentowa" sheetId="10" r:id="rId6"/>
  </sheets>
  <definedNames>
    <definedName name="_k" localSheetId="3">'4. Otwory'!$F$16</definedName>
    <definedName name="a" localSheetId="2">'3 Okrągły z głowicą'!$F$9</definedName>
    <definedName name="A_sy" localSheetId="2">'3 Okrągły z głowicą'!$F$17</definedName>
    <definedName name="A_sz" localSheetId="2">'3 Okrągły z głowicą'!$F$19</definedName>
    <definedName name="a_y" localSheetId="0">'1. Prosto - wewn'!$F$11</definedName>
    <definedName name="a_y" localSheetId="1">'2. Brzegowe'!$F$10</definedName>
    <definedName name="a_y" localSheetId="4">'5 Stopa fundamentowa'!$F$13</definedName>
    <definedName name="a_y" localSheetId="5">'6 Płyta fundamentowa'!$F$13</definedName>
    <definedName name="a_z" localSheetId="1">'2. Brzegowe'!$F$12</definedName>
    <definedName name="a_z" localSheetId="4">'5 Stopa fundamentowa'!$F$15</definedName>
    <definedName name="a_z" localSheetId="5">'6 Płyta fundamentowa'!$F$15</definedName>
    <definedName name="a_z">'1. Prosto - wewn'!$F$13</definedName>
    <definedName name="beta" localSheetId="0">'1. Prosto - wewn'!$F$9</definedName>
    <definedName name="beta" localSheetId="2">'3 Okrągły z głowicą'!$F$7</definedName>
    <definedName name="beta" localSheetId="3">'4. Otwory'!$F$10</definedName>
    <definedName name="beta" localSheetId="4">'5 Stopa fundamentowa'!$F$9</definedName>
    <definedName name="beta" localSheetId="5">'6 Płyta fundamentowa'!$F$9</definedName>
    <definedName name="beta_N">'2. Brzegowe'!$F$28</definedName>
    <definedName name="C_Rdc" localSheetId="3">'4. Otwory'!$F$15</definedName>
    <definedName name="c_y" localSheetId="0">'1. Prosto - wewn'!$F$4</definedName>
    <definedName name="c_y" localSheetId="1">'2. Brzegowe'!$F$4</definedName>
    <definedName name="c_y" localSheetId="3">'4. Otwory'!$F$4</definedName>
    <definedName name="c_y" localSheetId="4">'5 Stopa fundamentowa'!$F$4</definedName>
    <definedName name="c_y" localSheetId="5">'6 Płyta fundamentowa'!$F$4</definedName>
    <definedName name="c_z" localSheetId="0">'1. Prosto - wewn'!$F$5</definedName>
    <definedName name="c_z" localSheetId="1">'2. Brzegowe'!$F$5</definedName>
    <definedName name="c_z" localSheetId="3">'4. Otwory'!$F$5</definedName>
    <definedName name="c_z" localSheetId="4">'5 Stopa fundamentowa'!$F$5</definedName>
    <definedName name="c_z" localSheetId="5">'6 Płyta fundamentowa'!$F$5</definedName>
    <definedName name="d" localSheetId="0">'1. Prosto - wewn'!$F$15</definedName>
    <definedName name="d" localSheetId="1">'2. Brzegowe'!$F$14</definedName>
    <definedName name="d" localSheetId="2">'3 Okrągły z głowicą'!$F$10</definedName>
    <definedName name="d" localSheetId="3">'4. Otwory'!$F$9</definedName>
    <definedName name="d" localSheetId="4">'5 Stopa fundamentowa'!$F$17</definedName>
    <definedName name="d" localSheetId="5">'6 Płyta fundamentowa'!$F$17</definedName>
    <definedName name="d_y" localSheetId="0">'1. Prosto - wewn'!$F$12</definedName>
    <definedName name="d_y" localSheetId="1">'2. Brzegowe'!$F$11</definedName>
    <definedName name="d_y" localSheetId="4">'5 Stopa fundamentowa'!$F$14</definedName>
    <definedName name="d_y" localSheetId="5">'6 Płyta fundamentowa'!$F$14</definedName>
    <definedName name="d_z" localSheetId="0">'1. Prosto - wewn'!$F$14</definedName>
    <definedName name="d_z" localSheetId="1">'2. Brzegowe'!$F$13</definedName>
    <definedName name="d_z" localSheetId="4">'5 Stopa fundamentowa'!$F$16</definedName>
    <definedName name="d_z" localSheetId="5">'6 Płyta fundamentowa'!$F$16</definedName>
    <definedName name="f_cd" localSheetId="0">'1. Prosto - wewn'!$F$8</definedName>
    <definedName name="f_cd" localSheetId="1">'2. Brzegowe'!$F$8</definedName>
    <definedName name="f_cd" localSheetId="2">'3 Okrągły z głowicą'!$F$6</definedName>
    <definedName name="f_cd" localSheetId="3">'4. Otwory'!$F$8</definedName>
    <definedName name="f_cd" localSheetId="4">'5 Stopa fundamentowa'!$F$8</definedName>
    <definedName name="f_cd" localSheetId="5">'6 Płyta fundamentowa'!$F$8</definedName>
    <definedName name="f_ck" localSheetId="0">'1. Prosto - wewn'!$F$6</definedName>
    <definedName name="f_ck" localSheetId="1">'2. Brzegowe'!$F$6</definedName>
    <definedName name="f_ck" localSheetId="2">'3 Okrągły z głowicą'!$F$4</definedName>
    <definedName name="f_ck" localSheetId="3">'4. Otwory'!$F$6</definedName>
    <definedName name="f_ck" localSheetId="4">'5 Stopa fundamentowa'!$F$6</definedName>
    <definedName name="f_ck" localSheetId="5">'6 Płyta fundamentowa'!$F$6</definedName>
    <definedName name="f_yd" localSheetId="2">'3 Okrągły z głowicą'!#REF!</definedName>
    <definedName name="f_yk" localSheetId="0">'1. Prosto - wewn'!$F$96</definedName>
    <definedName name="f_yk" localSheetId="1">'2. Brzegowe'!#REF!</definedName>
    <definedName name="f_yk" localSheetId="2">'3 Okrągły z głowicą'!#REF!</definedName>
    <definedName name="f_yk" localSheetId="3">'4. Otwory'!#REF!</definedName>
    <definedName name="f_yk" localSheetId="4">'5 Stopa fundamentowa'!#REF!</definedName>
    <definedName name="f_yk" localSheetId="5">'6 Płyta fundamentowa'!#REF!</definedName>
    <definedName name="Fi" localSheetId="2">'3 Okrągły z głowicą'!#REF!</definedName>
    <definedName name="fyd" localSheetId="0">'1. Prosto - wewn'!$F$98</definedName>
    <definedName name="fyd" localSheetId="1">'2. Brzegowe'!#REF!</definedName>
    <definedName name="fyd" localSheetId="4">'5 Stopa fundamentowa'!#REF!</definedName>
    <definedName name="fyd" localSheetId="5">'6 Płyta fundamentowa'!#REF!</definedName>
    <definedName name="g_c" localSheetId="0">'1. Prosto - wewn'!$F$7</definedName>
    <definedName name="g_c" localSheetId="1">'2. Brzegowe'!$F$7</definedName>
    <definedName name="g_c" localSheetId="2">'3 Okrągły z głowicą'!$F$5</definedName>
    <definedName name="g_c" localSheetId="3">'4. Otwory'!$F$7</definedName>
    <definedName name="g_c" localSheetId="4">'5 Stopa fundamentowa'!$F$7</definedName>
    <definedName name="g_c" localSheetId="5">'6 Płyta fundamentowa'!$F$7</definedName>
    <definedName name="g_G" localSheetId="0">'1. Prosto - wewn'!$F$36</definedName>
    <definedName name="g_G" localSheetId="1">'2. Brzegowe'!$F$31</definedName>
    <definedName name="g_G" localSheetId="4">'5 Stopa fundamentowa'!#REF!</definedName>
    <definedName name="g_G" localSheetId="5">'6 Płyta fundamentowa'!#REF!</definedName>
    <definedName name="G_k" localSheetId="0">'1. Prosto - wewn'!$F$35</definedName>
    <definedName name="G_k" localSheetId="1">'2. Brzegowe'!$F$30</definedName>
    <definedName name="G_k" localSheetId="4">'5 Stopa fundamentowa'!#REF!</definedName>
    <definedName name="G_k" localSheetId="5">'6 Płyta fundamentowa'!#REF!</definedName>
    <definedName name="g_Q" localSheetId="0">'1. Prosto - wewn'!$F$42</definedName>
    <definedName name="g_Q" localSheetId="1">'2. Brzegowe'!$F$37</definedName>
    <definedName name="g_Q" localSheetId="4">'5 Stopa fundamentowa'!#REF!</definedName>
    <definedName name="g_Q" localSheetId="5">'6 Płyta fundamentowa'!#REF!</definedName>
    <definedName name="g_s" localSheetId="0">'1. Prosto - wewn'!$F$97</definedName>
    <definedName name="g_s" localSheetId="1">'2. Brzegowe'!#REF!</definedName>
    <definedName name="g_s" localSheetId="2">'3 Okrągły z głowicą'!#REF!</definedName>
    <definedName name="g_s" localSheetId="3">'4. Otwory'!#REF!</definedName>
    <definedName name="g_s" localSheetId="4">'5 Stopa fundamentowa'!#REF!</definedName>
    <definedName name="g_s" localSheetId="5">'6 Płyta fundamentowa'!#REF!</definedName>
    <definedName name="Gk" localSheetId="1">'2. Brzegowe'!$F$30</definedName>
    <definedName name="Gk" localSheetId="4">'5 Stopa fundamentowa'!#REF!</definedName>
    <definedName name="Gk" localSheetId="5">'6 Płyta fundamentowa'!#REF!</definedName>
    <definedName name="Gk">'1. Prosto - wewn'!$F$35</definedName>
    <definedName name="h" localSheetId="0">'1. Prosto - wewn'!$F$10</definedName>
    <definedName name="h" localSheetId="1">'2. Brzegowe'!$F$9</definedName>
    <definedName name="h" localSheetId="2">'3 Okrągły z głowicą'!$F$8</definedName>
    <definedName name="h" localSheetId="4">'5 Stopa fundamentowa'!$F$10</definedName>
    <definedName name="h" localSheetId="5">'6 Płyta fundamentowa'!$F$10</definedName>
    <definedName name="h_f" localSheetId="5">'6 Płyta fundamentowa'!$F$10</definedName>
    <definedName name="h_f">'5 Stopa fundamentowa'!$F$10</definedName>
    <definedName name="h_H" localSheetId="0">'1. Prosto - wewn'!$F$30</definedName>
    <definedName name="h_H" localSheetId="1">'2. Brzegowe'!#REF!</definedName>
    <definedName name="h_H" localSheetId="2">'3 Okrągły z głowicą'!$F$12</definedName>
    <definedName name="h_H" localSheetId="4">'5 Stopa fundamentowa'!$F$32</definedName>
    <definedName name="h_H" localSheetId="5">'6 Płyta fundamentowa'!$F$33</definedName>
    <definedName name="l_H" localSheetId="0">'1. Prosto - wewn'!$F$29</definedName>
    <definedName name="l_H" localSheetId="1">'2. Brzegowe'!#REF!</definedName>
    <definedName name="l_H" localSheetId="2">'3 Okrągły z głowicą'!$F$11</definedName>
    <definedName name="l_H" localSheetId="4">'5 Stopa fundamentowa'!$F$31</definedName>
    <definedName name="l_H" localSheetId="5">'6 Płyta fundamentowa'!$F$32</definedName>
    <definedName name="n_max" localSheetId="0">'1. Prosto - wewn'!$F$56</definedName>
    <definedName name="n_max" localSheetId="1">'2. Brzegowe'!$F$50</definedName>
    <definedName name="n_max" localSheetId="4">'5 Stopa fundamentowa'!$F$50</definedName>
    <definedName name="n_max" localSheetId="5">'6 Płyta fundamentowa'!$F$51</definedName>
    <definedName name="ni" localSheetId="0">'1. Prosto - wewn'!$F$20</definedName>
    <definedName name="ni" localSheetId="1">'2. Brzegowe'!$F$19</definedName>
    <definedName name="ni" localSheetId="3">'4. Otwory'!$F$13</definedName>
    <definedName name="ni" localSheetId="4">'5 Stopa fundamentowa'!$F$21</definedName>
    <definedName name="ni" localSheetId="5">'6 Płyta fundamentowa'!$F$22</definedName>
    <definedName name="ni_min" localSheetId="0">'1. Prosto - wewn'!$F$25</definedName>
    <definedName name="ni_min" localSheetId="3">'4. Otwory'!$F$17</definedName>
    <definedName name="ø">'3 Okrągły z głowicą'!$F$3</definedName>
    <definedName name="psi_p" localSheetId="0">'1. Prosto - wewn'!$F$41</definedName>
    <definedName name="psi_p" localSheetId="1">'2. Brzegowe'!$F$36</definedName>
    <definedName name="psi_p" localSheetId="4">'5 Stopa fundamentowa'!#REF!</definedName>
    <definedName name="psi_p" localSheetId="5">'6 Płyta fundamentowa'!#REF!</definedName>
    <definedName name="psi_u" localSheetId="0">'1. Prosto - wewn'!$F$38</definedName>
    <definedName name="psi_u" localSheetId="1">'2. Brzegowe'!$F$33</definedName>
    <definedName name="psi_u" localSheetId="4">'5 Stopa fundamentowa'!#REF!</definedName>
    <definedName name="psi_u" localSheetId="5">'6 Płyta fundamentowa'!#REF!</definedName>
    <definedName name="Q_d" localSheetId="0">'1. Prosto - wewn'!$F$43</definedName>
    <definedName name="Q_d" localSheetId="1">'2. Brzegowe'!$F$38</definedName>
    <definedName name="Q_d" localSheetId="4">'5 Stopa fundamentowa'!#REF!</definedName>
    <definedName name="Q_d" localSheetId="5">'6 Płyta fundamentowa'!#REF!</definedName>
    <definedName name="Q_kp" localSheetId="0">'1. Prosto - wewn'!$F$40</definedName>
    <definedName name="Q_kp" localSheetId="1">'2. Brzegowe'!$F$35</definedName>
    <definedName name="Q_kp" localSheetId="4">'5 Stopa fundamentowa'!#REF!</definedName>
    <definedName name="Q_kp" localSheetId="5">'6 Płyta fundamentowa'!#REF!</definedName>
    <definedName name="Q_kś" localSheetId="0">'1. Prosto - wewn'!$F$39</definedName>
    <definedName name="Q_kś" localSheetId="1">'2. Brzegowe'!$F$34</definedName>
    <definedName name="Q_kś" localSheetId="4">'5 Stopa fundamentowa'!#REF!</definedName>
    <definedName name="Q_kś" localSheetId="5">'6 Płyta fundamentowa'!#REF!</definedName>
    <definedName name="Q_ku" localSheetId="0">'1. Prosto - wewn'!$F$37</definedName>
    <definedName name="Q_ku" localSheetId="1">'2. Brzegowe'!$F$32</definedName>
    <definedName name="Q_ku" localSheetId="4">'5 Stopa fundamentowa'!#REF!</definedName>
    <definedName name="Q_ku" localSheetId="5">'6 Płyta fundamentowa'!#REF!</definedName>
    <definedName name="r_0" localSheetId="0">'1. Prosto - wewn'!$F$75</definedName>
    <definedName name="r_0" localSheetId="1">'2. Brzegowe'!#REF!</definedName>
    <definedName name="r_0" localSheetId="4">'5 Stopa fundamentowa'!#REF!</definedName>
    <definedName name="r_0" localSheetId="5">'6 Płyta fundamentowa'!#REF!</definedName>
    <definedName name="r_l" localSheetId="0">'1. Prosto - wewn'!$F$18</definedName>
    <definedName name="r_l" localSheetId="1">'2. Brzegowe'!$F$17</definedName>
    <definedName name="r_l" localSheetId="2">'3 Okrągły z głowicą'!$F$21</definedName>
    <definedName name="r_l" localSheetId="3">'4. Otwory'!$F$12</definedName>
    <definedName name="r_l" localSheetId="4">'5 Stopa fundamentowa'!$F$20</definedName>
    <definedName name="r_l" localSheetId="5">'6 Płyta fundamentowa'!$F$20</definedName>
    <definedName name="r_ly" localSheetId="0">'1. Prosto - wewn'!$F$16</definedName>
    <definedName name="r_ly" localSheetId="1">'2. Brzegowe'!$F$15</definedName>
    <definedName name="r_ly" localSheetId="2">'3 Okrągły z głowicą'!$F$18</definedName>
    <definedName name="r_ly" localSheetId="4">'5 Stopa fundamentowa'!$F$18</definedName>
    <definedName name="r_ly" localSheetId="5">'6 Płyta fundamentowa'!$F$18</definedName>
    <definedName name="r_lz" localSheetId="0">'1. Prosto - wewn'!$F$17</definedName>
    <definedName name="r_lz" localSheetId="1">'2. Brzegowe'!$F$16</definedName>
    <definedName name="r_lz" localSheetId="2">'3 Okrągły z głowicą'!$F$20</definedName>
    <definedName name="r_lz" localSheetId="4">'5 Stopa fundamentowa'!$F$19</definedName>
    <definedName name="r_lz" localSheetId="5">'6 Płyta fundamentowa'!$F$19</definedName>
    <definedName name="r_s" localSheetId="0">'1. Prosto - wewn'!$F$70</definedName>
    <definedName name="r_s" localSheetId="1">'2. Brzegowe'!#REF!</definedName>
    <definedName name="r_s" localSheetId="4">'5 Stopa fundamentowa'!#REF!</definedName>
    <definedName name="r_s" localSheetId="5">'6 Płyta fundamentowa'!#REF!</definedName>
    <definedName name="s_r" localSheetId="0">'1. Prosto - wewn'!$F$81</definedName>
    <definedName name="s_r" localSheetId="1">'2. Brzegowe'!#REF!</definedName>
    <definedName name="s_r" localSheetId="4">'5 Stopa fundamentowa'!#REF!</definedName>
    <definedName name="s_r" localSheetId="5">'6 Płyta fundamentowa'!#REF!</definedName>
    <definedName name="s_t" localSheetId="0">'1. Prosto - wewn'!$F$83</definedName>
    <definedName name="s_t" localSheetId="1">'2. Brzegowe'!#REF!</definedName>
    <definedName name="s_t" localSheetId="4">'5 Stopa fundamentowa'!#REF!</definedName>
    <definedName name="s_t" localSheetId="5">'6 Płyta fundamentowa'!#REF!</definedName>
    <definedName name="solver_adj" localSheetId="0" hidden="1">'1. Prosto - wewn'!$F$49</definedName>
    <definedName name="solver_adj" localSheetId="1" hidden="1">'2. Brzegowe'!$I$44</definedName>
    <definedName name="solver_adj" localSheetId="3" hidden="1">'4. Otwory'!#REF!</definedName>
    <definedName name="solver_adj" localSheetId="4" hidden="1">'5 Stopa fundamentowa'!$F$44</definedName>
    <definedName name="solver_adj" localSheetId="5" hidden="1">'6 Płyta fundamentowa'!$F$45</definedName>
    <definedName name="solver_cvg" localSheetId="0" hidden="1">0.0001</definedName>
    <definedName name="solver_cvg" localSheetId="1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drv" localSheetId="0" hidden="1">1</definedName>
    <definedName name="solver_drv" localSheetId="1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eng" localSheetId="0" hidden="1">1</definedName>
    <definedName name="solver_eng" localSheetId="1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st" localSheetId="0" hidden="1">1</definedName>
    <definedName name="solver_est" localSheetId="1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itr" localSheetId="0" hidden="1">2147483647</definedName>
    <definedName name="solver_itr" localSheetId="1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lhs1" localSheetId="0" hidden="1">'1. Prosto - wewn'!$F$49</definedName>
    <definedName name="solver_lhs1" localSheetId="1" hidden="1">'2. Brzegowe'!$F$44</definedName>
    <definedName name="solver_lhs1" localSheetId="3" hidden="1">'4. Otwory'!#REF!</definedName>
    <definedName name="solver_lhs1" localSheetId="4" hidden="1">'5 Stopa fundamentowa'!$F$44</definedName>
    <definedName name="solver_lhs1" localSheetId="5" hidden="1">'6 Płyta fundamentowa'!$F$45</definedName>
    <definedName name="solver_lhs2" localSheetId="0" hidden="1">'1. Prosto - wewn'!$F$49</definedName>
    <definedName name="solver_lhs2" localSheetId="1" hidden="1">'2. Brzegowe'!$F$44</definedName>
    <definedName name="solver_lhs2" localSheetId="3" hidden="1">'4. Otwory'!#REF!</definedName>
    <definedName name="solver_lhs2" localSheetId="4" hidden="1">'5 Stopa fundamentowa'!$F$44</definedName>
    <definedName name="solver_lhs2" localSheetId="5" hidden="1">'6 Płyta fundamentowa'!$F$45</definedName>
    <definedName name="solver_mip" localSheetId="0" hidden="1">2147483647</definedName>
    <definedName name="solver_mip" localSheetId="1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ni" localSheetId="0" hidden="1">30</definedName>
    <definedName name="solver_mni" localSheetId="1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rt" localSheetId="0" hidden="1">0.075</definedName>
    <definedName name="solver_mrt" localSheetId="1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sl" localSheetId="0" hidden="1">2</definedName>
    <definedName name="solver_msl" localSheetId="1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neg" localSheetId="0" hidden="1">1</definedName>
    <definedName name="solver_neg" localSheetId="1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od" localSheetId="0" hidden="1">2147483647</definedName>
    <definedName name="solver_nod" localSheetId="1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um" localSheetId="0" hidden="1">0</definedName>
    <definedName name="solver_num" localSheetId="1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wt" localSheetId="0" hidden="1">1</definedName>
    <definedName name="solver_nwt" localSheetId="1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pt" localSheetId="0" hidden="1">'1. Prosto - wewn'!$F$56</definedName>
    <definedName name="solver_opt" localSheetId="1" hidden="1">'2. Brzegowe'!$I$50</definedName>
    <definedName name="solver_opt" localSheetId="3" hidden="1">'4. Otwory'!#REF!</definedName>
    <definedName name="solver_opt" localSheetId="4" hidden="1">'5 Stopa fundamentowa'!$F$50</definedName>
    <definedName name="solver_opt" localSheetId="5" hidden="1">'6 Płyta fundamentowa'!$F$51</definedName>
    <definedName name="solver_pre" localSheetId="0" hidden="1">0.000001</definedName>
    <definedName name="solver_pre" localSheetId="1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rbv" localSheetId="0" hidden="1">1</definedName>
    <definedName name="solver_rbv" localSheetId="1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el1" localSheetId="0" hidden="1">3</definedName>
    <definedName name="solver_rel1" localSheetId="1" hidden="1">3</definedName>
    <definedName name="solver_rel1" localSheetId="3" hidden="1">3</definedName>
    <definedName name="solver_rel1" localSheetId="4" hidden="1">3</definedName>
    <definedName name="solver_rel1" localSheetId="5" hidden="1">3</definedName>
    <definedName name="solver_rel2" localSheetId="0" hidden="1">3</definedName>
    <definedName name="solver_rel2" localSheetId="1" hidden="1">3</definedName>
    <definedName name="solver_rel2" localSheetId="3" hidden="1">3</definedName>
    <definedName name="solver_rel2" localSheetId="4" hidden="1">3</definedName>
    <definedName name="solver_rel2" localSheetId="5" hidden="1">3</definedName>
    <definedName name="solver_rhs1" localSheetId="0" hidden="1">_c_yP</definedName>
    <definedName name="solver_rhs1" localSheetId="1" hidden="1">_c_yP</definedName>
    <definedName name="solver_rhs1" localSheetId="3" hidden="1">'4. Otwory'!_c_yP</definedName>
    <definedName name="solver_rhs1" localSheetId="4" hidden="1">_c_yP</definedName>
    <definedName name="solver_rhs1" localSheetId="5" hidden="1">_c_yP</definedName>
    <definedName name="solver_rhs2" localSheetId="0" hidden="1">c_zP</definedName>
    <definedName name="solver_rhs2" localSheetId="1" hidden="1">c_zP</definedName>
    <definedName name="solver_rhs2" localSheetId="3" hidden="1">'4. Otwory'!c_zP</definedName>
    <definedName name="solver_rhs2" localSheetId="4" hidden="1">c_zP</definedName>
    <definedName name="solver_rhs2" localSheetId="5" hidden="1">c_zP</definedName>
    <definedName name="solver_rlx" localSheetId="0" hidden="1">2</definedName>
    <definedName name="solver_rlx" localSheetId="1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sd" localSheetId="0" hidden="1">0</definedName>
    <definedName name="solver_rsd" localSheetId="1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scl" localSheetId="0" hidden="1">1</definedName>
    <definedName name="solver_scl" localSheetId="1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ho" localSheetId="0" hidden="1">2</definedName>
    <definedName name="solver_sho" localSheetId="1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sz" localSheetId="0" hidden="1">100</definedName>
    <definedName name="solver_ssz" localSheetId="1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tim" localSheetId="0" hidden="1">2147483647</definedName>
    <definedName name="solver_tim" localSheetId="1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ol" localSheetId="0" hidden="1">0.01</definedName>
    <definedName name="solver_tol" localSheetId="1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yp" localSheetId="0" hidden="1">3</definedName>
    <definedName name="solver_typ" localSheetId="1" hidden="1">3</definedName>
    <definedName name="solver_typ" localSheetId="3" hidden="1">3</definedName>
    <definedName name="solver_typ" localSheetId="4" hidden="1">3</definedName>
    <definedName name="solver_typ" localSheetId="5" hidden="1">3</definedName>
    <definedName name="solver_val" localSheetId="0" hidden="1">1</definedName>
    <definedName name="solver_val" localSheetId="1" hidden="1">1</definedName>
    <definedName name="solver_val" localSheetId="3" hidden="1">1</definedName>
    <definedName name="solver_val" localSheetId="4" hidden="1">1</definedName>
    <definedName name="solver_val" localSheetId="5" hidden="1">1</definedName>
    <definedName name="solver_ver" localSheetId="0" hidden="1">3</definedName>
    <definedName name="solver_ver" localSheetId="1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u_0" localSheetId="0">'1. Prosto - wewn'!$F$45</definedName>
    <definedName name="u_0" localSheetId="1">'2. Brzegowe'!$F$40</definedName>
    <definedName name="u_0" localSheetId="4">'5 Stopa fundamentowa'!$F$40</definedName>
    <definedName name="u_0" localSheetId="5">'6 Płyta fundamentowa'!$F$41</definedName>
    <definedName name="u_1" localSheetId="0">'1. Prosto - wewn'!$F$60</definedName>
    <definedName name="u_1" localSheetId="1">'2. Brzegowe'!$F$54</definedName>
    <definedName name="u_1" localSheetId="2">'4. Otwory'!$F$28</definedName>
    <definedName name="u_1" localSheetId="4">'5 Stopa fundamentowa'!#REF!</definedName>
    <definedName name="u_1" localSheetId="5">'6 Płyta fundamentowa'!#REF!</definedName>
    <definedName name="v_Ed_0" localSheetId="0">'1. Prosto - wewn'!$F$46</definedName>
    <definedName name="v_Ed_0" localSheetId="1">'2. Brzegowe'!$F$41</definedName>
    <definedName name="v_Ed_0" localSheetId="3">'4. Otwory'!$F$41</definedName>
    <definedName name="v_Ed_0" localSheetId="4">'5 Stopa fundamentowa'!$F$41</definedName>
    <definedName name="v_Ed_0" localSheetId="5">'6 Płyta fundamentowa'!$F$42</definedName>
    <definedName name="v_Ed_1" localSheetId="0">'1. Prosto - wewn'!$F$64</definedName>
    <definedName name="v_Ed_1" localSheetId="1">'2. Brzegowe'!$F$58</definedName>
    <definedName name="v_Ed_1" localSheetId="4">'5 Stopa fundamentowa'!#REF!</definedName>
    <definedName name="v_Ed_1" localSheetId="5">'6 Płyta fundamentowa'!#REF!</definedName>
    <definedName name="v_Ed_1">'1. Prosto - wewn'!$F$64</definedName>
    <definedName name="V_ED_d" localSheetId="2">'3 Okrągły z głowicą'!$F$13</definedName>
    <definedName name="V_Ed_d" localSheetId="3">'4. Otwory'!$F$11</definedName>
    <definedName name="V_Ed_d" localSheetId="4">'5 Stopa fundamentowa'!$F$34</definedName>
    <definedName name="V_Ed_d" localSheetId="5">'6 Płyta fundamentowa'!$F$35</definedName>
    <definedName name="V_Ed_d">'1. Prosto - wewn'!$F$32</definedName>
    <definedName name="V_Ed_g" localSheetId="0">'1. Prosto - wewn'!$F$33</definedName>
    <definedName name="V_Ed_g" localSheetId="2">'3 Okrągły z głowicą'!$F$14</definedName>
    <definedName name="V_Ed_g" localSheetId="4">'5 Stopa fundamentowa'!#REF!</definedName>
    <definedName name="V_Ed_g" localSheetId="5">'6 Płyta fundamentowa'!#REF!</definedName>
    <definedName name="V_Ed_red" localSheetId="0">'1. Prosto - wewn'!$F$63</definedName>
    <definedName name="V_Ed_red" localSheetId="1">'2. Brzegowe'!$F$57</definedName>
    <definedName name="V_Ed_red" localSheetId="2">'3 Okrągły z głowicą'!$F$16</definedName>
    <definedName name="V_Ed_red" localSheetId="4">'5 Stopa fundamentowa'!#REF!</definedName>
    <definedName name="V_Ed_red" localSheetId="5">'6 Płyta fundamentowa'!#REF!</definedName>
    <definedName name="V_q" localSheetId="2">'3 Okrągły z głowicą'!$F$15</definedName>
    <definedName name="v_Rdc" localSheetId="0">'1. Prosto - wewn'!$F$27</definedName>
    <definedName name="v_Rdc" localSheetId="1">'2. Brzegowe'!$F$26</definedName>
    <definedName name="v_Rdc" localSheetId="4">'5 Stopa fundamentowa'!$F$28</definedName>
    <definedName name="v_Rdc" localSheetId="5">'6 Płyta fundamentowa'!$F$29</definedName>
    <definedName name="x_1" localSheetId="0">'1. Prosto - wewn'!$F$59</definedName>
    <definedName name="x_1" localSheetId="1">'2. Brzegowe'!$F$53</definedName>
    <definedName name="x_1" localSheetId="3">'4. Otwory'!$F$27</definedName>
    <definedName name="x_1" localSheetId="4">'5 Stopa fundamentowa'!#REF!</definedName>
    <definedName name="x_1" localSheetId="5">'6 Płyta fundamentowa'!#REF!</definedName>
    <definedName name="x_1max" localSheetId="5">'6 Płyta fundamentowa'!$F$58</definedName>
    <definedName name="x_1max">'5 Stopa fundamentowa'!$F$57</definedName>
    <definedName name="x_max" localSheetId="0">'1. Prosto - wewn'!$F$49</definedName>
    <definedName name="x_max" localSheetId="1">'2. Brzegowe'!$F$44</definedName>
    <definedName name="x_max" localSheetId="4">'5 Stopa fundamentowa'!$F$44</definedName>
    <definedName name="x_max" localSheetId="5">'6 Płyta fundamentowa'!$F$45</definedName>
  </definedNames>
  <calcPr calcId="145621"/>
</workbook>
</file>

<file path=xl/calcChain.xml><?xml version="1.0" encoding="utf-8"?>
<calcChain xmlns="http://schemas.openxmlformats.org/spreadsheetml/2006/main">
  <c r="F49" i="10" l="1"/>
  <c r="F29" i="1"/>
  <c r="F8" i="10"/>
  <c r="F46" i="10"/>
  <c r="F41" i="10"/>
  <c r="F37" i="10"/>
  <c r="F36" i="10"/>
  <c r="F25" i="10"/>
  <c r="F22" i="10"/>
  <c r="F20" i="10"/>
  <c r="F21" i="10" s="1"/>
  <c r="F16" i="10"/>
  <c r="F14" i="10"/>
  <c r="F50" i="10" l="1"/>
  <c r="F23" i="10"/>
  <c r="F17" i="10"/>
  <c r="F38" i="10"/>
  <c r="F47" i="10" s="1"/>
  <c r="F48" i="10" s="1"/>
  <c r="F52" i="10" l="1"/>
  <c r="F42" i="10"/>
  <c r="F43" i="10" s="1"/>
  <c r="F26" i="10"/>
  <c r="F27" i="10" s="1"/>
  <c r="F29" i="10" s="1"/>
  <c r="F32" i="9"/>
  <c r="F27" i="9"/>
  <c r="F22" i="9"/>
  <c r="F21" i="9"/>
  <c r="F24" i="9" s="1"/>
  <c r="F16" i="9"/>
  <c r="F17" i="9" s="1"/>
  <c r="F19" i="9" s="1"/>
  <c r="F13" i="9"/>
  <c r="F8" i="9"/>
  <c r="F28" i="1"/>
  <c r="F16" i="1"/>
  <c r="F6" i="1"/>
  <c r="I45" i="8"/>
  <c r="F45" i="8"/>
  <c r="F46" i="8"/>
  <c r="I46" i="8"/>
  <c r="I38" i="8"/>
  <c r="F38" i="8"/>
  <c r="F22" i="8"/>
  <c r="F19" i="8"/>
  <c r="F17" i="8"/>
  <c r="F18" i="8" s="1"/>
  <c r="F13" i="8"/>
  <c r="F11" i="8"/>
  <c r="F8" i="8"/>
  <c r="F45" i="7"/>
  <c r="F50" i="2"/>
  <c r="F40" i="7"/>
  <c r="F36" i="7"/>
  <c r="F35" i="7"/>
  <c r="F21" i="7"/>
  <c r="F14" i="7"/>
  <c r="F8" i="7"/>
  <c r="F48" i="7"/>
  <c r="F24" i="7"/>
  <c r="F20" i="7"/>
  <c r="F16" i="7"/>
  <c r="F51" i="10" l="1"/>
  <c r="F28" i="9"/>
  <c r="F33" i="9"/>
  <c r="F23" i="9"/>
  <c r="F25" i="9" s="1"/>
  <c r="F14" i="9"/>
  <c r="I47" i="8"/>
  <c r="I48" i="8" s="1"/>
  <c r="I49" i="8" s="1"/>
  <c r="F47" i="8"/>
  <c r="F48" i="8" s="1"/>
  <c r="F20" i="8"/>
  <c r="F14" i="8"/>
  <c r="F37" i="7"/>
  <c r="F46" i="7" s="1"/>
  <c r="F47" i="7" s="1"/>
  <c r="F22" i="7"/>
  <c r="F17" i="7"/>
  <c r="F108" i="2"/>
  <c r="F23" i="2"/>
  <c r="F54" i="2"/>
  <c r="F34" i="2"/>
  <c r="F51" i="2"/>
  <c r="F20" i="2"/>
  <c r="F45" i="2"/>
  <c r="F18" i="2"/>
  <c r="F19" i="2" s="1"/>
  <c r="F43" i="2"/>
  <c r="F14" i="2"/>
  <c r="F12" i="2"/>
  <c r="F98" i="2"/>
  <c r="F8" i="2"/>
  <c r="F34" i="9" l="1"/>
  <c r="F35" i="9" s="1"/>
  <c r="F36" i="9" s="1"/>
  <c r="F49" i="8"/>
  <c r="I53" i="8"/>
  <c r="I51" i="8"/>
  <c r="I40" i="8"/>
  <c r="I41" i="8" s="1"/>
  <c r="I42" i="8" s="1"/>
  <c r="F40" i="8"/>
  <c r="F41" i="8" s="1"/>
  <c r="F42" i="8" s="1"/>
  <c r="F51" i="8"/>
  <c r="F23" i="8"/>
  <c r="F53" i="8"/>
  <c r="F49" i="7"/>
  <c r="F41" i="7"/>
  <c r="F42" i="7" s="1"/>
  <c r="F52" i="2"/>
  <c r="F53" i="2" s="1"/>
  <c r="F25" i="7"/>
  <c r="F26" i="7" s="1"/>
  <c r="F28" i="7" s="1"/>
  <c r="F51" i="7"/>
  <c r="F21" i="2"/>
  <c r="F15" i="2"/>
  <c r="F72" i="2" s="1"/>
  <c r="F101" i="2"/>
  <c r="F105" i="2"/>
  <c r="F100" i="2"/>
  <c r="F46" i="2" l="1"/>
  <c r="F47" i="2" s="1"/>
  <c r="I55" i="8"/>
  <c r="I56" i="8" s="1"/>
  <c r="I57" i="8" s="1"/>
  <c r="I54" i="8"/>
  <c r="F55" i="8"/>
  <c r="F56" i="8" s="1"/>
  <c r="F57" i="8" s="1"/>
  <c r="F54" i="8"/>
  <c r="F24" i="8"/>
  <c r="F26" i="8" s="1"/>
  <c r="F50" i="8" s="1"/>
  <c r="F50" i="7"/>
  <c r="F75" i="2"/>
  <c r="F76" i="2" s="1"/>
  <c r="F77" i="2" s="1"/>
  <c r="F102" i="2"/>
  <c r="F57" i="2"/>
  <c r="F83" i="2"/>
  <c r="F80" i="2"/>
  <c r="F24" i="2"/>
  <c r="F59" i="2"/>
  <c r="I58" i="8" l="1"/>
  <c r="I59" i="8" s="1"/>
  <c r="I50" i="8"/>
  <c r="F58" i="8"/>
  <c r="F107" i="2"/>
  <c r="F109" i="2" s="1"/>
  <c r="F25" i="2"/>
  <c r="F27" i="2" s="1"/>
  <c r="E86" i="2"/>
  <c r="E87" i="2" s="1"/>
  <c r="F61" i="2"/>
  <c r="F60" i="2"/>
  <c r="F55" i="2"/>
  <c r="F59" i="8" l="1"/>
  <c r="F86" i="2"/>
  <c r="E91" i="2" s="1"/>
  <c r="F91" i="2" s="1"/>
  <c r="E88" i="2"/>
  <c r="F87" i="2"/>
  <c r="F62" i="2"/>
  <c r="F63" i="2" s="1"/>
  <c r="F22" i="1"/>
  <c r="F23" i="1" s="1"/>
  <c r="F10" i="1"/>
  <c r="F30" i="1" l="1"/>
  <c r="F32" i="1"/>
  <c r="F33" i="1" s="1"/>
  <c r="F31" i="1"/>
  <c r="E92" i="2"/>
  <c r="F92" i="2" s="1"/>
  <c r="E89" i="2"/>
  <c r="F89" i="2" s="1"/>
  <c r="F88" i="2"/>
  <c r="F64" i="2"/>
  <c r="F103" i="2" s="1"/>
  <c r="F106" i="2" s="1"/>
  <c r="F68" i="2"/>
  <c r="F18" i="1"/>
  <c r="F24" i="1"/>
  <c r="F20" i="1"/>
  <c r="F65" i="2" l="1"/>
  <c r="E93" i="2"/>
  <c r="F93" i="2" s="1"/>
  <c r="E94" i="2"/>
  <c r="F94" i="2" s="1"/>
  <c r="F21" i="1"/>
  <c r="F25" i="1"/>
  <c r="F26" i="1" l="1"/>
  <c r="F34" i="1" s="1"/>
  <c r="F78" i="2"/>
  <c r="F56" i="2"/>
  <c r="F69" i="2" l="1"/>
  <c r="F70" i="2" s="1"/>
  <c r="F82" i="2" l="1"/>
  <c r="F71" i="2"/>
  <c r="F73" i="2" s="1"/>
  <c r="F74" i="2" l="1"/>
</calcChain>
</file>

<file path=xl/sharedStrings.xml><?xml version="1.0" encoding="utf-8"?>
<sst xmlns="http://schemas.openxmlformats.org/spreadsheetml/2006/main" count="793" uniqueCount="276">
  <si>
    <t>mm</t>
  </si>
  <si>
    <t>średnica słup</t>
  </si>
  <si>
    <t>wsp. Mimo</t>
  </si>
  <si>
    <t>grubość głowicy</t>
  </si>
  <si>
    <t>β</t>
  </si>
  <si>
    <t>siła dolny słup</t>
  </si>
  <si>
    <t>siła górny słup</t>
  </si>
  <si>
    <t>kN</t>
  </si>
  <si>
    <t>wysięg głowicy</t>
  </si>
  <si>
    <t>h</t>
  </si>
  <si>
    <t>otulenie</t>
  </si>
  <si>
    <t>a</t>
  </si>
  <si>
    <t>wysokosć uzyteczna</t>
  </si>
  <si>
    <t>d</t>
  </si>
  <si>
    <t xml:space="preserve">obciążenie </t>
  </si>
  <si>
    <t>pole zvrojenia-y</t>
  </si>
  <si>
    <t>pole zbrojenia-z</t>
  </si>
  <si>
    <t xml:space="preserve">atopień zbrojenia </t>
  </si>
  <si>
    <t xml:space="preserve">stopień zbrojenia </t>
  </si>
  <si>
    <t>stopień zbrojenia śr</t>
  </si>
  <si>
    <t>obwód wokół słupa</t>
  </si>
  <si>
    <t>obwód  +2d bez głowicy</t>
  </si>
  <si>
    <t>obwód  +2d z głowicą</t>
  </si>
  <si>
    <t>ν</t>
  </si>
  <si>
    <t>beton</t>
  </si>
  <si>
    <t>Mpa</t>
  </si>
  <si>
    <t>MPa</t>
  </si>
  <si>
    <t>stal</t>
  </si>
  <si>
    <t>wsp. mater. beton</t>
  </si>
  <si>
    <t>wsp . ścinania z rysami</t>
  </si>
  <si>
    <t>wytrz maksymalna</t>
  </si>
  <si>
    <t>wsp k</t>
  </si>
  <si>
    <t>k</t>
  </si>
  <si>
    <t>wsp vmin</t>
  </si>
  <si>
    <t>νmin</t>
  </si>
  <si>
    <t>wytrz bez zbrojenia</t>
  </si>
  <si>
    <t>grubość płyty</t>
  </si>
  <si>
    <t>siła ZRED.</t>
  </si>
  <si>
    <r>
      <t>c</t>
    </r>
    <r>
      <rPr>
        <vertAlign val="subscript"/>
        <sz val="14"/>
        <color theme="1"/>
        <rFont val="Calibri"/>
        <family val="2"/>
        <charset val="238"/>
        <scheme val="minor"/>
      </rPr>
      <t>y</t>
    </r>
  </si>
  <si>
    <r>
      <t>c</t>
    </r>
    <r>
      <rPr>
        <vertAlign val="subscript"/>
        <sz val="14"/>
        <color theme="1"/>
        <rFont val="Calibri"/>
        <family val="2"/>
        <charset val="238"/>
        <scheme val="minor"/>
      </rPr>
      <t>z</t>
    </r>
  </si>
  <si>
    <r>
      <t>γ</t>
    </r>
    <r>
      <rPr>
        <vertAlign val="subscript"/>
        <sz val="14"/>
        <color theme="1"/>
        <rFont val="Calibri"/>
        <family val="2"/>
        <charset val="238"/>
      </rPr>
      <t>c</t>
    </r>
  </si>
  <si>
    <r>
      <t>f</t>
    </r>
    <r>
      <rPr>
        <vertAlign val="subscript"/>
        <sz val="14"/>
        <color theme="1"/>
        <rFont val="Calibri"/>
        <family val="2"/>
        <charset val="238"/>
      </rPr>
      <t>cd</t>
    </r>
  </si>
  <si>
    <r>
      <t>f</t>
    </r>
    <r>
      <rPr>
        <vertAlign val="subscript"/>
        <sz val="14"/>
        <color theme="1"/>
        <rFont val="Calibri"/>
        <family val="2"/>
        <charset val="238"/>
      </rPr>
      <t>yd</t>
    </r>
  </si>
  <si>
    <r>
      <t>l</t>
    </r>
    <r>
      <rPr>
        <vertAlign val="subscript"/>
        <sz val="14"/>
        <color theme="1"/>
        <rFont val="Calibri"/>
        <family val="2"/>
        <charset val="238"/>
        <scheme val="minor"/>
      </rPr>
      <t>H</t>
    </r>
  </si>
  <si>
    <r>
      <t>h</t>
    </r>
    <r>
      <rPr>
        <vertAlign val="subscript"/>
        <sz val="14"/>
        <color theme="1"/>
        <rFont val="Calibri"/>
        <family val="2"/>
        <charset val="238"/>
        <scheme val="minor"/>
      </rPr>
      <t>H</t>
    </r>
  </si>
  <si>
    <r>
      <t>V</t>
    </r>
    <r>
      <rPr>
        <vertAlign val="subscript"/>
        <sz val="14"/>
        <color theme="1"/>
        <rFont val="Calibri"/>
        <family val="2"/>
        <charset val="238"/>
        <scheme val="minor"/>
      </rPr>
      <t>Ed,d</t>
    </r>
  </si>
  <si>
    <r>
      <t>V</t>
    </r>
    <r>
      <rPr>
        <vertAlign val="subscript"/>
        <sz val="14"/>
        <color theme="1"/>
        <rFont val="Calibri"/>
        <family val="2"/>
        <charset val="238"/>
        <scheme val="minor"/>
      </rPr>
      <t>Ed,g</t>
    </r>
  </si>
  <si>
    <r>
      <t>kN/m</t>
    </r>
    <r>
      <rPr>
        <vertAlign val="superscript"/>
        <sz val="14"/>
        <color theme="1"/>
        <rFont val="Calibri"/>
        <family val="2"/>
        <charset val="238"/>
        <scheme val="minor"/>
      </rPr>
      <t>2</t>
    </r>
  </si>
  <si>
    <r>
      <t>A</t>
    </r>
    <r>
      <rPr>
        <vertAlign val="subscript"/>
        <sz val="14"/>
        <color theme="1"/>
        <rFont val="Calibri"/>
        <family val="2"/>
        <charset val="238"/>
        <scheme val="minor"/>
      </rPr>
      <t>sy</t>
    </r>
  </si>
  <si>
    <r>
      <t>cm</t>
    </r>
    <r>
      <rPr>
        <vertAlign val="superscript"/>
        <sz val="14"/>
        <color theme="1"/>
        <rFont val="Calibri"/>
        <family val="2"/>
        <charset val="238"/>
        <scheme val="minor"/>
      </rPr>
      <t>2</t>
    </r>
  </si>
  <si>
    <r>
      <t>ρ</t>
    </r>
    <r>
      <rPr>
        <vertAlign val="subscript"/>
        <sz val="14"/>
        <color theme="1"/>
        <rFont val="Calibri"/>
        <family val="2"/>
        <charset val="238"/>
      </rPr>
      <t>ly</t>
    </r>
  </si>
  <si>
    <r>
      <t>ρ</t>
    </r>
    <r>
      <rPr>
        <vertAlign val="subscript"/>
        <sz val="14"/>
        <color theme="1"/>
        <rFont val="Calibri"/>
        <family val="2"/>
        <charset val="238"/>
      </rPr>
      <t>lz</t>
    </r>
  </si>
  <si>
    <r>
      <t>ρ</t>
    </r>
    <r>
      <rPr>
        <vertAlign val="subscript"/>
        <sz val="14"/>
        <color theme="1"/>
        <rFont val="Calibri"/>
        <family val="2"/>
        <charset val="238"/>
      </rPr>
      <t>l</t>
    </r>
  </si>
  <si>
    <r>
      <t>u</t>
    </r>
    <r>
      <rPr>
        <vertAlign val="subscript"/>
        <sz val="14"/>
        <color theme="1"/>
        <rFont val="Calibri"/>
        <family val="2"/>
        <charset val="238"/>
      </rPr>
      <t>0</t>
    </r>
  </si>
  <si>
    <r>
      <t>u</t>
    </r>
    <r>
      <rPr>
        <vertAlign val="subscript"/>
        <sz val="14"/>
        <color theme="1"/>
        <rFont val="Calibri"/>
        <family val="2"/>
        <charset val="238"/>
      </rPr>
      <t>1bez</t>
    </r>
  </si>
  <si>
    <r>
      <t>v</t>
    </r>
    <r>
      <rPr>
        <vertAlign val="subscript"/>
        <sz val="14"/>
        <color theme="1"/>
        <rFont val="Calibri"/>
        <family val="2"/>
        <charset val="238"/>
      </rPr>
      <t>Rd,max</t>
    </r>
  </si>
  <si>
    <r>
      <t>v</t>
    </r>
    <r>
      <rPr>
        <vertAlign val="subscript"/>
        <sz val="14"/>
        <color theme="1"/>
        <rFont val="Calibri"/>
        <family val="2"/>
        <charset val="238"/>
      </rPr>
      <t>Rd,c</t>
    </r>
  </si>
  <si>
    <r>
      <t>v</t>
    </r>
    <r>
      <rPr>
        <vertAlign val="subscript"/>
        <sz val="14"/>
        <color theme="1"/>
        <rFont val="Calibri"/>
        <family val="2"/>
        <charset val="238"/>
        <scheme val="minor"/>
      </rPr>
      <t>ED,0</t>
    </r>
  </si>
  <si>
    <t>wsp. beton</t>
  </si>
  <si>
    <t>wsp. stal</t>
  </si>
  <si>
    <t>beton oblicz.</t>
  </si>
  <si>
    <t>stal oblicz</t>
  </si>
  <si>
    <t>wsp. mimośrodowści</t>
  </si>
  <si>
    <r>
      <t>a</t>
    </r>
    <r>
      <rPr>
        <vertAlign val="subscript"/>
        <sz val="14"/>
        <color theme="1"/>
        <rFont val="Calibri"/>
        <family val="2"/>
        <charset val="238"/>
      </rPr>
      <t>y</t>
    </r>
  </si>
  <si>
    <r>
      <t>d</t>
    </r>
    <r>
      <rPr>
        <vertAlign val="subscript"/>
        <sz val="14"/>
        <color theme="1"/>
        <rFont val="Calibri"/>
        <family val="2"/>
        <charset val="238"/>
      </rPr>
      <t>y</t>
    </r>
  </si>
  <si>
    <r>
      <t>a</t>
    </r>
    <r>
      <rPr>
        <vertAlign val="subscript"/>
        <sz val="14"/>
        <color theme="1"/>
        <rFont val="Calibri"/>
        <family val="2"/>
        <charset val="238"/>
      </rPr>
      <t>z</t>
    </r>
  </si>
  <si>
    <r>
      <t>d</t>
    </r>
    <r>
      <rPr>
        <vertAlign val="subscript"/>
        <sz val="14"/>
        <color theme="1"/>
        <rFont val="Calibri"/>
        <family val="2"/>
        <charset val="238"/>
      </rPr>
      <t>z</t>
    </r>
  </si>
  <si>
    <r>
      <t>V</t>
    </r>
    <r>
      <rPr>
        <vertAlign val="subscript"/>
        <sz val="14"/>
        <color theme="1"/>
        <rFont val="Calibri"/>
        <family val="2"/>
        <charset val="238"/>
        <scheme val="minor"/>
      </rPr>
      <t>Ed,red</t>
    </r>
  </si>
  <si>
    <r>
      <t>A</t>
    </r>
    <r>
      <rPr>
        <vertAlign val="subscript"/>
        <sz val="14"/>
        <color theme="1"/>
        <rFont val="Calibri"/>
        <family val="2"/>
        <charset val="238"/>
        <scheme val="minor"/>
      </rPr>
      <t>sz</t>
    </r>
  </si>
  <si>
    <r>
      <t>γ</t>
    </r>
    <r>
      <rPr>
        <vertAlign val="subscript"/>
        <sz val="14"/>
        <color theme="1"/>
        <rFont val="Calibri"/>
        <family val="2"/>
        <charset val="238"/>
      </rPr>
      <t>s</t>
    </r>
  </si>
  <si>
    <r>
      <t>obwód  u</t>
    </r>
    <r>
      <rPr>
        <vertAlign val="subscript"/>
        <sz val="14"/>
        <color theme="1"/>
        <rFont val="Calibri"/>
        <family val="2"/>
        <charset val="238"/>
        <scheme val="minor"/>
      </rPr>
      <t>1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</si>
  <si>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>C</t>
    </r>
    <r>
      <rPr>
        <vertAlign val="subscript"/>
        <sz val="14"/>
        <color theme="1"/>
        <rFont val="Calibri"/>
        <family val="2"/>
        <charset val="238"/>
      </rPr>
      <t>Rkc</t>
    </r>
  </si>
  <si>
    <r>
      <t>C</t>
    </r>
    <r>
      <rPr>
        <vertAlign val="subscript"/>
        <sz val="14"/>
        <color theme="1"/>
        <rFont val="Calibri"/>
        <family val="2"/>
        <charset val="238"/>
      </rPr>
      <t>Rdc</t>
    </r>
  </si>
  <si>
    <t>wsp. k</t>
  </si>
  <si>
    <r>
      <t>γ</t>
    </r>
    <r>
      <rPr>
        <vertAlign val="subscript"/>
        <sz val="14"/>
        <color theme="1"/>
        <rFont val="Calibri"/>
        <family val="2"/>
        <charset val="238"/>
      </rPr>
      <t>G</t>
    </r>
  </si>
  <si>
    <r>
      <t>Q</t>
    </r>
    <r>
      <rPr>
        <vertAlign val="subscript"/>
        <sz val="14"/>
        <color theme="1"/>
        <rFont val="Calibri"/>
        <family val="2"/>
        <charset val="238"/>
        <scheme val="minor"/>
      </rPr>
      <t>d</t>
    </r>
  </si>
  <si>
    <t>wsp obc. stałe</t>
  </si>
  <si>
    <t>wsp obc. zmienne</t>
  </si>
  <si>
    <r>
      <t>γ</t>
    </r>
    <r>
      <rPr>
        <vertAlign val="subscript"/>
        <sz val="14"/>
        <color theme="1"/>
        <rFont val="Calibri"/>
        <family val="2"/>
        <charset val="238"/>
      </rPr>
      <t>Q</t>
    </r>
  </si>
  <si>
    <t>siła od obciążenia Q</t>
  </si>
  <si>
    <t>x</t>
  </si>
  <si>
    <t>n</t>
  </si>
  <si>
    <t>SŁUP OKR ĄGŁY  z głowicą</t>
  </si>
  <si>
    <t>bok słupa y</t>
  </si>
  <si>
    <t>bok słupa z</t>
  </si>
  <si>
    <t>otulenie osiowe y</t>
  </si>
  <si>
    <t>wys.  użyteczna y</t>
  </si>
  <si>
    <t>otulenie osiowe z</t>
  </si>
  <si>
    <t>wys.  użyteczna z</t>
  </si>
  <si>
    <t xml:space="preserve">wysokosć uzyteczna średnia </t>
  </si>
  <si>
    <t>stopień zbrojenia średni</t>
  </si>
  <si>
    <t>(-)</t>
  </si>
  <si>
    <t>wsp. v_min</t>
  </si>
  <si>
    <t>wsp korelacji char</t>
  </si>
  <si>
    <t>wsp korelacji  oblicz</t>
  </si>
  <si>
    <t>wytrz  maks</t>
  </si>
  <si>
    <r>
      <t>A</t>
    </r>
    <r>
      <rPr>
        <vertAlign val="subscript"/>
        <sz val="14"/>
        <color theme="1"/>
        <rFont val="Calibri"/>
        <family val="2"/>
        <charset val="238"/>
        <scheme val="minor"/>
      </rPr>
      <t>qx,bez</t>
    </r>
  </si>
  <si>
    <r>
      <t>A</t>
    </r>
    <r>
      <rPr>
        <vertAlign val="subscript"/>
        <sz val="14"/>
        <color theme="1"/>
        <rFont val="Calibri"/>
        <family val="2"/>
        <charset val="238"/>
        <scheme val="minor"/>
      </rPr>
      <t>qx,ze sl</t>
    </r>
  </si>
  <si>
    <t>obwód podstawowy (x=2d)</t>
  </si>
  <si>
    <r>
      <t>u</t>
    </r>
    <r>
      <rPr>
        <vertAlign val="subscript"/>
        <sz val="14"/>
        <color theme="1"/>
        <rFont val="Calibri"/>
        <family val="2"/>
        <charset val="238"/>
        <scheme val="minor"/>
      </rPr>
      <t>x,max</t>
    </r>
  </si>
  <si>
    <r>
      <t>naprężenia v</t>
    </r>
    <r>
      <rPr>
        <vertAlign val="subscript"/>
        <sz val="14"/>
        <color theme="1"/>
        <rFont val="Calibri"/>
        <family val="2"/>
        <charset val="238"/>
        <scheme val="minor"/>
      </rPr>
      <t>0</t>
    </r>
  </si>
  <si>
    <t>obwód wokół słupa (x=0)</t>
  </si>
  <si>
    <r>
      <t>u</t>
    </r>
    <r>
      <rPr>
        <vertAlign val="subscript"/>
        <sz val="14"/>
        <color theme="1"/>
        <rFont val="Calibri"/>
        <family val="2"/>
        <charset val="238"/>
        <scheme val="minor"/>
      </rPr>
      <t>out</t>
    </r>
  </si>
  <si>
    <t>rozmieszczenie zbrojenia</t>
  </si>
  <si>
    <r>
      <t>r</t>
    </r>
    <r>
      <rPr>
        <vertAlign val="subscript"/>
        <sz val="14"/>
        <color theme="1"/>
        <rFont val="Calibri"/>
        <family val="2"/>
        <charset val="238"/>
        <scheme val="minor"/>
      </rPr>
      <t>out</t>
    </r>
  </si>
  <si>
    <r>
      <t>r</t>
    </r>
    <r>
      <rPr>
        <vertAlign val="subscript"/>
        <sz val="14"/>
        <color theme="1"/>
        <rFont val="Calibri"/>
        <family val="2"/>
        <charset val="238"/>
        <scheme val="minor"/>
      </rPr>
      <t>s</t>
    </r>
  </si>
  <si>
    <r>
      <t>s</t>
    </r>
    <r>
      <rPr>
        <vertAlign val="subscript"/>
        <sz val="14"/>
        <color theme="1"/>
        <rFont val="Calibri"/>
        <family val="2"/>
        <charset val="238"/>
        <scheme val="minor"/>
      </rPr>
      <t>r</t>
    </r>
  </si>
  <si>
    <r>
      <t>u</t>
    </r>
    <r>
      <rPr>
        <vertAlign val="subscript"/>
        <sz val="14"/>
        <color theme="1"/>
        <rFont val="Calibri"/>
        <family val="2"/>
        <charset val="238"/>
        <scheme val="minor"/>
      </rPr>
      <t>s</t>
    </r>
  </si>
  <si>
    <t>φ</t>
  </si>
  <si>
    <r>
      <t>A</t>
    </r>
    <r>
      <rPr>
        <vertAlign val="subscript"/>
        <sz val="14"/>
        <color theme="1"/>
        <rFont val="Calibri"/>
        <family val="2"/>
        <charset val="238"/>
        <scheme val="minor"/>
      </rPr>
      <t>s1</t>
    </r>
  </si>
  <si>
    <r>
      <t>0,08(f</t>
    </r>
    <r>
      <rPr>
        <vertAlign val="subscript"/>
        <sz val="14"/>
        <color theme="1"/>
        <rFont val="Calibri"/>
        <family val="2"/>
        <charset val="238"/>
        <scheme val="minor"/>
      </rPr>
      <t>c</t>
    </r>
    <r>
      <rPr>
        <sz val="14"/>
        <color theme="1"/>
        <rFont val="Calibri"/>
        <family val="2"/>
        <charset val="238"/>
        <scheme val="minor"/>
      </rPr>
      <t>)0,5/f</t>
    </r>
    <r>
      <rPr>
        <vertAlign val="subscript"/>
        <sz val="14"/>
        <color theme="1"/>
        <rFont val="Calibri"/>
        <family val="2"/>
        <charset val="238"/>
        <scheme val="minor"/>
      </rPr>
      <t>y</t>
    </r>
  </si>
  <si>
    <t>kontrolny obwód skrajny</t>
  </si>
  <si>
    <t>skrajny obwód zbrojenia</t>
  </si>
  <si>
    <r>
      <t>max s</t>
    </r>
    <r>
      <rPr>
        <vertAlign val="subscript"/>
        <sz val="14"/>
        <color theme="1"/>
        <rFont val="Calibri"/>
        <family val="2"/>
        <charset val="238"/>
        <scheme val="minor"/>
      </rPr>
      <t xml:space="preserve">r </t>
    </r>
    <r>
      <rPr>
        <sz val="14"/>
        <color theme="1"/>
        <rFont val="Calibri"/>
        <family val="2"/>
        <charset val="238"/>
        <scheme val="minor"/>
      </rPr>
      <t xml:space="preserve"> ⇓</t>
    </r>
  </si>
  <si>
    <r>
      <t>s</t>
    </r>
    <r>
      <rPr>
        <vertAlign val="subscript"/>
        <sz val="14"/>
        <color theme="1"/>
        <rFont val="Calibri"/>
        <family val="2"/>
        <charset val="238"/>
        <scheme val="minor"/>
      </rPr>
      <t>t(s)</t>
    </r>
  </si>
  <si>
    <t>pośrednie obwody</t>
  </si>
  <si>
    <r>
      <t>r</t>
    </r>
    <r>
      <rPr>
        <vertAlign val="subscript"/>
        <sz val="14"/>
        <color theme="1"/>
        <rFont val="Calibri"/>
        <family val="2"/>
        <charset val="238"/>
        <scheme val="minor"/>
      </rPr>
      <t>0</t>
    </r>
  </si>
  <si>
    <r>
      <t>u</t>
    </r>
    <r>
      <rPr>
        <vertAlign val="subscript"/>
        <sz val="14"/>
        <color theme="1"/>
        <rFont val="Calibri"/>
        <family val="2"/>
        <charset val="238"/>
        <scheme val="minor"/>
      </rPr>
      <t>0</t>
    </r>
  </si>
  <si>
    <r>
      <t>min n</t>
    </r>
    <r>
      <rPr>
        <vertAlign val="subscript"/>
        <sz val="14"/>
        <color theme="1"/>
        <rFont val="Calibri"/>
        <family val="2"/>
        <charset val="238"/>
        <scheme val="minor"/>
      </rPr>
      <t>t,0</t>
    </r>
    <r>
      <rPr>
        <sz val="14"/>
        <color theme="1"/>
        <rFont val="Calibri"/>
        <family val="2"/>
        <charset val="238"/>
        <scheme val="minor"/>
      </rPr>
      <t xml:space="preserve">  ⇓</t>
    </r>
  </si>
  <si>
    <r>
      <t>s</t>
    </r>
    <r>
      <rPr>
        <vertAlign val="subscript"/>
        <sz val="14"/>
        <color theme="1"/>
        <rFont val="Calibri"/>
        <family val="2"/>
        <charset val="238"/>
        <scheme val="minor"/>
      </rPr>
      <t>t(,0</t>
    </r>
  </si>
  <si>
    <t>odkegłość obwodów</t>
  </si>
  <si>
    <r>
      <t>A</t>
    </r>
    <r>
      <rPr>
        <vertAlign val="subscript"/>
        <sz val="14"/>
        <color theme="1"/>
        <rFont val="Calibri"/>
        <family val="2"/>
        <charset val="238"/>
        <scheme val="minor"/>
      </rPr>
      <t>sw</t>
    </r>
  </si>
  <si>
    <r>
      <t>v</t>
    </r>
    <r>
      <rPr>
        <vertAlign val="subscript"/>
        <sz val="14"/>
        <color theme="1"/>
        <rFont val="Calibri"/>
        <family val="2"/>
        <charset val="238"/>
        <scheme val="minor"/>
      </rPr>
      <t>Ed,1</t>
    </r>
  </si>
  <si>
    <t>α</t>
  </si>
  <si>
    <t>o</t>
  </si>
  <si>
    <t>sinα</t>
  </si>
  <si>
    <r>
      <t>f</t>
    </r>
    <r>
      <rPr>
        <vertAlign val="subscript"/>
        <sz val="14"/>
        <color theme="1"/>
        <rFont val="Calibri"/>
        <family val="2"/>
        <charset val="238"/>
      </rPr>
      <t>y,fd,ed</t>
    </r>
  </si>
  <si>
    <r>
      <t>n</t>
    </r>
    <r>
      <rPr>
        <vertAlign val="subscript"/>
        <sz val="14"/>
        <color theme="1"/>
        <rFont val="Calibri"/>
        <family val="2"/>
        <charset val="238"/>
        <scheme val="minor"/>
      </rPr>
      <t>φ</t>
    </r>
  </si>
  <si>
    <t>cosα</t>
  </si>
  <si>
    <r>
      <t>Q</t>
    </r>
    <r>
      <rPr>
        <vertAlign val="subscript"/>
        <sz val="14"/>
        <color theme="1"/>
        <rFont val="Calibri"/>
        <family val="2"/>
        <charset val="238"/>
        <scheme val="minor"/>
      </rPr>
      <t>x</t>
    </r>
  </si>
  <si>
    <t>naprężenia Ex</t>
  </si>
  <si>
    <r>
      <t>Q</t>
    </r>
    <r>
      <rPr>
        <vertAlign val="subscript"/>
        <sz val="14"/>
        <color theme="1"/>
        <rFont val="Calibri"/>
        <family val="2"/>
        <charset val="238"/>
        <scheme val="minor"/>
      </rPr>
      <t>ku</t>
    </r>
  </si>
  <si>
    <r>
      <t>Q</t>
    </r>
    <r>
      <rPr>
        <vertAlign val="subscript"/>
        <sz val="14"/>
        <color theme="1"/>
        <rFont val="Calibri"/>
        <family val="2"/>
        <charset val="238"/>
        <scheme val="minor"/>
      </rPr>
      <t>kś</t>
    </r>
  </si>
  <si>
    <r>
      <t>Q</t>
    </r>
    <r>
      <rPr>
        <vertAlign val="subscript"/>
        <sz val="14"/>
        <color theme="1"/>
        <rFont val="Calibri"/>
        <family val="2"/>
        <charset val="238"/>
        <scheme val="minor"/>
      </rPr>
      <t>kp</t>
    </r>
  </si>
  <si>
    <t>vEd</t>
  </si>
  <si>
    <t>Naprężenia od obciążenia</t>
  </si>
  <si>
    <t>Siła skupiona od obc. równo.</t>
  </si>
  <si>
    <t>Siła skupiona zredukowana</t>
  </si>
  <si>
    <t>ø</t>
  </si>
  <si>
    <t>naprężenia_0</t>
  </si>
  <si>
    <t>naprężenia_1</t>
  </si>
  <si>
    <t>obwód krytyczny</t>
  </si>
  <si>
    <r>
      <t>x</t>
    </r>
    <r>
      <rPr>
        <vertAlign val="subscript"/>
        <sz val="14"/>
        <color theme="1"/>
        <rFont val="Calibri"/>
        <family val="2"/>
        <charset val="238"/>
        <scheme val="minor"/>
      </rPr>
      <t>max</t>
    </r>
  </si>
  <si>
    <r>
      <t>C30/37:   f</t>
    </r>
    <r>
      <rPr>
        <vertAlign val="subscript"/>
        <sz val="14"/>
        <color theme="1"/>
        <rFont val="Calibri"/>
        <family val="2"/>
        <charset val="238"/>
        <scheme val="minor"/>
      </rPr>
      <t>ck</t>
    </r>
  </si>
  <si>
    <r>
      <t>B500:       f</t>
    </r>
    <r>
      <rPr>
        <vertAlign val="subscript"/>
        <sz val="14"/>
        <color theme="1"/>
        <rFont val="Calibri"/>
        <family val="2"/>
        <charset val="238"/>
      </rPr>
      <t>yk</t>
    </r>
  </si>
  <si>
    <t>wysokosć użyteczna (średnia)</t>
  </si>
  <si>
    <t>Głowica</t>
  </si>
  <si>
    <t>wysięg</t>
  </si>
  <si>
    <t>grubość</t>
  </si>
  <si>
    <t>Siły</t>
  </si>
  <si>
    <t>słup dolny</t>
  </si>
  <si>
    <t xml:space="preserve">słup górny </t>
  </si>
  <si>
    <t>q_stałe</t>
  </si>
  <si>
    <t>q_użytkowe</t>
  </si>
  <si>
    <t>wsp redukc</t>
  </si>
  <si>
    <t>q_ ścianki</t>
  </si>
  <si>
    <t>wsp redukc.</t>
  </si>
  <si>
    <t>q_podwieszone</t>
  </si>
  <si>
    <t>q_obliczeniowe</t>
  </si>
  <si>
    <t>stopień zbrojenia_y</t>
  </si>
  <si>
    <t>stopień zbrojenia _z</t>
  </si>
  <si>
    <t>stopień zbrojenia (średni)</t>
  </si>
  <si>
    <r>
      <t>G</t>
    </r>
    <r>
      <rPr>
        <vertAlign val="subscript"/>
        <sz val="14"/>
        <color theme="1"/>
        <rFont val="Calibri"/>
        <family val="2"/>
        <charset val="238"/>
        <scheme val="minor"/>
      </rPr>
      <t>k</t>
    </r>
  </si>
  <si>
    <t xml:space="preserve">Przykład 1: Słup PROSTOKĄTNY wewnętrzny </t>
  </si>
  <si>
    <r>
      <t>ψ</t>
    </r>
    <r>
      <rPr>
        <vertAlign val="subscript"/>
        <sz val="14"/>
        <color theme="1"/>
        <rFont val="Calibri"/>
        <family val="2"/>
        <charset val="238"/>
        <scheme val="minor"/>
      </rPr>
      <t>u</t>
    </r>
  </si>
  <si>
    <r>
      <t>ψ</t>
    </r>
    <r>
      <rPr>
        <vertAlign val="subscript"/>
        <sz val="14"/>
        <color theme="1"/>
        <rFont val="Calibri"/>
        <family val="2"/>
        <charset val="238"/>
        <scheme val="minor"/>
      </rPr>
      <t>ś.p</t>
    </r>
  </si>
  <si>
    <t>Wsp. bezpiecz (do max)</t>
  </si>
  <si>
    <r>
      <t>v</t>
    </r>
    <r>
      <rPr>
        <vertAlign val="subscript"/>
        <sz val="14"/>
        <color theme="1"/>
        <rFont val="Calibri"/>
        <family val="2"/>
        <charset val="238"/>
        <scheme val="minor"/>
      </rPr>
      <t>Ed,0</t>
    </r>
  </si>
  <si>
    <t>Pole obciążenia (wariant -fund.)</t>
  </si>
  <si>
    <t>Pole obciażenia (wariant-strop)</t>
  </si>
  <si>
    <t>Przyrosy sił (przebijaj</t>
  </si>
  <si>
    <r>
      <rPr>
        <sz val="14"/>
        <color theme="1"/>
        <rFont val="Calibri"/>
        <family val="2"/>
        <charset val="238"/>
        <scheme val="minor"/>
      </rPr>
      <t>ΔV</t>
    </r>
    <r>
      <rPr>
        <vertAlign val="subscript"/>
        <sz val="11"/>
        <color theme="1"/>
        <rFont val="Calibri"/>
        <family val="2"/>
        <charset val="238"/>
        <scheme val="minor"/>
      </rPr>
      <t>Ed</t>
    </r>
  </si>
  <si>
    <r>
      <t>V</t>
    </r>
    <r>
      <rPr>
        <vertAlign val="subscript"/>
        <sz val="14"/>
        <color theme="1"/>
        <rFont val="Calibri"/>
        <family val="2"/>
        <charset val="238"/>
        <scheme val="minor"/>
      </rPr>
      <t>E,red</t>
    </r>
  </si>
  <si>
    <t>wytrzymałość  max</t>
  </si>
  <si>
    <t>wytrzymałość niezbrojony</t>
  </si>
  <si>
    <r>
      <rPr>
        <sz val="14"/>
        <color theme="1"/>
        <rFont val="Calibri"/>
        <family val="2"/>
        <charset val="238"/>
      </rPr>
      <t>ν</t>
    </r>
    <r>
      <rPr>
        <vertAlign val="subscript"/>
        <sz val="14"/>
        <color theme="1"/>
        <rFont val="Calibri"/>
        <family val="2"/>
        <charset val="238"/>
      </rPr>
      <t>min</t>
    </r>
  </si>
  <si>
    <t>Obwód krytyczny</t>
  </si>
  <si>
    <r>
      <rPr>
        <sz val="14"/>
        <color theme="1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charset val="238"/>
        <scheme val="minor"/>
      </rPr>
      <t>cr=</t>
    </r>
  </si>
  <si>
    <r>
      <t>x</t>
    </r>
    <r>
      <rPr>
        <vertAlign val="subscript"/>
        <sz val="14"/>
        <color theme="1"/>
        <rFont val="Calibri"/>
        <family val="2"/>
        <charset val="238"/>
        <scheme val="minor"/>
      </rPr>
      <t>1</t>
    </r>
  </si>
  <si>
    <r>
      <t>u</t>
    </r>
    <r>
      <rPr>
        <vertAlign val="subscript"/>
        <sz val="14"/>
        <color theme="1"/>
        <rFont val="Calibri"/>
        <family val="2"/>
        <charset val="238"/>
      </rPr>
      <t>1</t>
    </r>
  </si>
  <si>
    <r>
      <t>A</t>
    </r>
    <r>
      <rPr>
        <vertAlign val="subscript"/>
        <sz val="14"/>
        <color theme="1"/>
        <rFont val="Calibri"/>
        <family val="2"/>
        <charset val="238"/>
      </rPr>
      <t xml:space="preserve">1q </t>
    </r>
  </si>
  <si>
    <r>
      <t>Q</t>
    </r>
    <r>
      <rPr>
        <vertAlign val="subscript"/>
        <sz val="14"/>
        <color theme="1"/>
        <rFont val="Calibri"/>
        <family val="2"/>
        <charset val="238"/>
      </rPr>
      <t>1</t>
    </r>
  </si>
  <si>
    <t xml:space="preserve">Zbrojenie: </t>
  </si>
  <si>
    <r>
      <t>Nośność u</t>
    </r>
    <r>
      <rPr>
        <vertAlign val="subscript"/>
        <sz val="14"/>
        <color theme="1"/>
        <rFont val="Calibri"/>
        <family val="2"/>
        <charset val="238"/>
        <scheme val="minor"/>
      </rPr>
      <t>0</t>
    </r>
  </si>
  <si>
    <r>
      <t>s</t>
    </r>
    <r>
      <rPr>
        <vertAlign val="subscript"/>
        <sz val="14"/>
        <color theme="1"/>
        <rFont val="Calibri"/>
        <family val="2"/>
        <charset val="238"/>
        <scheme val="minor"/>
      </rPr>
      <t>t</t>
    </r>
  </si>
  <si>
    <r>
      <t>r</t>
    </r>
    <r>
      <rPr>
        <vertAlign val="subscript"/>
        <sz val="14"/>
        <color theme="1"/>
        <rFont val="Calibri"/>
        <family val="2"/>
        <charset val="238"/>
        <scheme val="minor"/>
      </rPr>
      <t>i</t>
    </r>
  </si>
  <si>
    <t>Promień</t>
  </si>
  <si>
    <t>Obwód</t>
  </si>
  <si>
    <r>
      <t>u</t>
    </r>
    <r>
      <rPr>
        <vertAlign val="subscript"/>
        <sz val="14"/>
        <color theme="1"/>
        <rFont val="Calibri"/>
        <family val="2"/>
        <charset val="238"/>
        <scheme val="minor"/>
      </rPr>
      <t>i</t>
    </r>
    <r>
      <rPr>
        <sz val="14"/>
        <color theme="1"/>
        <rFont val="Calibri"/>
        <family val="2"/>
        <charset val="238"/>
        <scheme val="minor"/>
      </rPr>
      <t>=2</t>
    </r>
    <r>
      <rPr>
        <sz val="14"/>
        <color theme="1"/>
        <rFont val="Calibri"/>
        <family val="2"/>
        <charset val="238"/>
      </rPr>
      <t>πr</t>
    </r>
    <r>
      <rPr>
        <vertAlign val="subscript"/>
        <sz val="14"/>
        <color theme="1"/>
        <rFont val="Calibri"/>
        <family val="2"/>
        <charset val="238"/>
      </rPr>
      <t>i</t>
    </r>
  </si>
  <si>
    <t>Nr i</t>
  </si>
  <si>
    <t>Obwód najbliższy słupa</t>
  </si>
  <si>
    <t>Kolejne obwody zbrojenia</t>
  </si>
  <si>
    <t>Liczba obwodów środkowych</t>
  </si>
  <si>
    <r>
      <t>n</t>
    </r>
    <r>
      <rPr>
        <vertAlign val="subscript"/>
        <sz val="14"/>
        <color theme="1"/>
        <rFont val="Calibri"/>
        <family val="2"/>
        <charset val="238"/>
        <scheme val="minor"/>
      </rPr>
      <t>pośr</t>
    </r>
  </si>
  <si>
    <t>Przyjęto  rozstęp obwodów</t>
  </si>
  <si>
    <r>
      <t>s</t>
    </r>
    <r>
      <rPr>
        <vertAlign val="subscript"/>
        <sz val="14"/>
        <color theme="1"/>
        <rFont val="Calibri"/>
        <family val="2"/>
        <charset val="238"/>
        <scheme val="minor"/>
      </rPr>
      <t>ti</t>
    </r>
  </si>
  <si>
    <t>Rozstęp strzemion na obwodzie</t>
  </si>
  <si>
    <r>
      <t>n</t>
    </r>
    <r>
      <rPr>
        <vertAlign val="subscript"/>
        <sz val="14"/>
        <color theme="1"/>
        <rFont val="Calibri"/>
        <family val="2"/>
        <charset val="238"/>
        <scheme val="minor"/>
      </rPr>
      <t>ti</t>
    </r>
  </si>
  <si>
    <t>szt/mm</t>
  </si>
  <si>
    <t>mm/mm</t>
  </si>
  <si>
    <t>Zbrojenie</t>
  </si>
  <si>
    <t>kąt strzemion</t>
  </si>
  <si>
    <r>
      <t>k</t>
    </r>
    <r>
      <rPr>
        <vertAlign val="subscript"/>
        <sz val="14"/>
        <color theme="1"/>
        <rFont val="Calibri"/>
        <family val="2"/>
        <charset val="238"/>
      </rPr>
      <t>1</t>
    </r>
    <r>
      <rPr>
        <sz val="14"/>
        <color theme="1"/>
        <rFont val="Calibri"/>
        <family val="2"/>
        <charset val="238"/>
      </rPr>
      <t>σ</t>
    </r>
    <r>
      <rPr>
        <vertAlign val="subscript"/>
        <sz val="14"/>
        <color theme="1"/>
        <rFont val="Calibri"/>
        <family val="2"/>
        <charset val="238"/>
      </rPr>
      <t>cp</t>
    </r>
  </si>
  <si>
    <r>
      <t>1,5*A</t>
    </r>
    <r>
      <rPr>
        <vertAlign val="subscript"/>
        <sz val="14"/>
        <color theme="1"/>
        <rFont val="Calibri"/>
        <family val="2"/>
        <charset val="238"/>
        <scheme val="minor"/>
      </rPr>
      <t>s1</t>
    </r>
    <r>
      <rPr>
        <sz val="14"/>
        <color theme="1"/>
        <rFont val="Calibri"/>
        <family val="2"/>
        <charset val="238"/>
        <scheme val="minor"/>
      </rPr>
      <t>/</t>
    </r>
    <r>
      <rPr>
        <vertAlign val="subscript"/>
        <sz val="14"/>
        <color theme="1"/>
        <rFont val="Calibri"/>
        <family val="2"/>
        <charset val="238"/>
        <scheme val="minor"/>
      </rPr>
      <t>(</t>
    </r>
    <r>
      <rPr>
        <sz val="14"/>
        <color theme="1"/>
        <rFont val="Calibri"/>
        <family val="2"/>
        <charset val="238"/>
        <scheme val="minor"/>
      </rPr>
      <t>s</t>
    </r>
    <r>
      <rPr>
        <vertAlign val="subscript"/>
        <sz val="14"/>
        <color theme="1"/>
        <rFont val="Calibri"/>
        <family val="2"/>
        <charset val="238"/>
        <scheme val="minor"/>
      </rPr>
      <t>r</t>
    </r>
    <r>
      <rPr>
        <sz val="14"/>
        <color theme="1"/>
        <rFont val="Calibri"/>
        <family val="2"/>
        <charset val="238"/>
        <scheme val="minor"/>
      </rPr>
      <t>s</t>
    </r>
    <r>
      <rPr>
        <vertAlign val="subscript"/>
        <sz val="14"/>
        <color theme="1"/>
        <rFont val="Calibri"/>
        <family val="2"/>
        <charset val="238"/>
        <scheme val="minor"/>
      </rPr>
      <t>t</t>
    </r>
    <r>
      <rPr>
        <sz val="14"/>
        <color theme="1"/>
        <rFont val="Calibri"/>
        <family val="2"/>
        <charset val="238"/>
        <scheme val="minor"/>
      </rPr>
      <t xml:space="preserve">) </t>
    </r>
  </si>
  <si>
    <t>Wytrzymałość stali strzemion</t>
  </si>
  <si>
    <t>Pole stali jednego obwodu</t>
  </si>
  <si>
    <t>średnica pręta</t>
  </si>
  <si>
    <t>Pole stali jedengo strzemiona</t>
  </si>
  <si>
    <t>Liczba strzemion na obwodzie</t>
  </si>
  <si>
    <t>Sprawdzenie minimalnej średnicy</t>
  </si>
  <si>
    <t>strzemiona</t>
  </si>
  <si>
    <t>Średnica pręta</t>
  </si>
  <si>
    <r>
      <t>max t</t>
    </r>
    <r>
      <rPr>
        <vertAlign val="subscript"/>
        <sz val="14"/>
        <color theme="1"/>
        <rFont val="Calibri"/>
        <family val="2"/>
        <charset val="238"/>
        <scheme val="minor"/>
      </rPr>
      <t>s</t>
    </r>
  </si>
  <si>
    <r>
      <t>min n</t>
    </r>
    <r>
      <rPr>
        <vertAlign val="subscript"/>
        <sz val="14"/>
        <color theme="1"/>
        <rFont val="Calibri"/>
        <family val="2"/>
        <charset val="238"/>
        <scheme val="minor"/>
      </rPr>
      <t xml:space="preserve">ts </t>
    </r>
  </si>
  <si>
    <t>Przykład 5: Stopa fundamentowa</t>
  </si>
  <si>
    <r>
      <t>C25/30:   f</t>
    </r>
    <r>
      <rPr>
        <vertAlign val="subscript"/>
        <sz val="14"/>
        <color theme="1"/>
        <rFont val="Calibri"/>
        <family val="2"/>
        <charset val="238"/>
        <scheme val="minor"/>
      </rPr>
      <t>ck</t>
    </r>
  </si>
  <si>
    <t>Wzmocnienie (grzybek)</t>
  </si>
  <si>
    <r>
      <t>A</t>
    </r>
    <r>
      <rPr>
        <vertAlign val="subscript"/>
        <sz val="14"/>
        <color theme="1"/>
        <rFont val="Calibri"/>
        <family val="2"/>
        <charset val="238"/>
        <scheme val="minor"/>
      </rPr>
      <t>f</t>
    </r>
  </si>
  <si>
    <t>Długość fundamentu</t>
  </si>
  <si>
    <r>
      <t>B</t>
    </r>
    <r>
      <rPr>
        <vertAlign val="subscript"/>
        <sz val="14"/>
        <color theme="1"/>
        <rFont val="Calibri"/>
        <family val="2"/>
        <charset val="238"/>
        <scheme val="minor"/>
      </rPr>
      <t>f</t>
    </r>
  </si>
  <si>
    <t>Szerokość odporu</t>
  </si>
  <si>
    <t>Długość odporu</t>
  </si>
  <si>
    <r>
      <t>h</t>
    </r>
    <r>
      <rPr>
        <vertAlign val="subscript"/>
        <sz val="14"/>
        <color theme="1"/>
        <rFont val="Calibri"/>
        <family val="2"/>
        <charset val="238"/>
      </rPr>
      <t>f</t>
    </r>
  </si>
  <si>
    <t>Szerokość fundamentu</t>
  </si>
  <si>
    <t>grubość (wysokość) fundamentu</t>
  </si>
  <si>
    <r>
      <t>a</t>
    </r>
    <r>
      <rPr>
        <vertAlign val="subscript"/>
        <sz val="14"/>
        <color theme="1"/>
        <rFont val="Calibri"/>
        <family val="2"/>
        <charset val="238"/>
        <scheme val="minor"/>
      </rPr>
      <t>f</t>
    </r>
  </si>
  <si>
    <r>
      <t>b</t>
    </r>
    <r>
      <rPr>
        <vertAlign val="subscript"/>
        <sz val="14"/>
        <color theme="1"/>
        <rFont val="Calibri"/>
        <family val="2"/>
        <charset val="238"/>
        <scheme val="minor"/>
      </rPr>
      <t>f</t>
    </r>
  </si>
  <si>
    <r>
      <t>Q</t>
    </r>
    <r>
      <rPr>
        <vertAlign val="subscript"/>
        <sz val="14"/>
        <color theme="1"/>
        <rFont val="Calibri"/>
        <family val="2"/>
        <charset val="238"/>
        <scheme val="minor"/>
      </rPr>
      <t>f</t>
    </r>
  </si>
  <si>
    <t>kN/m2</t>
  </si>
  <si>
    <t>Współrzędna krytyczna</t>
  </si>
  <si>
    <t>Dane i wyniki ogólne</t>
  </si>
  <si>
    <t>Odpór fundamentu  na reakcję</t>
  </si>
  <si>
    <t>Obliczeniowa siła w słupie</t>
  </si>
  <si>
    <r>
      <t>V</t>
    </r>
    <r>
      <rPr>
        <vertAlign val="subscript"/>
        <sz val="14"/>
        <color theme="1"/>
        <rFont val="Calibri"/>
        <family val="2"/>
        <charset val="238"/>
        <scheme val="minor"/>
      </rPr>
      <t>ed</t>
    </r>
  </si>
  <si>
    <r>
      <t xml:space="preserve">Siły </t>
    </r>
    <r>
      <rPr>
        <sz val="14"/>
        <color theme="1"/>
        <rFont val="Calibri"/>
        <family val="2"/>
        <charset val="238"/>
        <scheme val="minor"/>
      </rPr>
      <t>(siła w słupie bez ciężaru  i obciążenia górnej powierzchni stopy)</t>
    </r>
  </si>
  <si>
    <t>nmax</t>
  </si>
  <si>
    <t xml:space="preserve">pole opbciążenia </t>
  </si>
  <si>
    <t>Przykład 2: Słup BRZEGOWY I NAROŻNY</t>
  </si>
  <si>
    <t>max ρl</t>
  </si>
  <si>
    <t>warunek maks. zbrojenia</t>
  </si>
  <si>
    <t>SŁUP NAROŻNY</t>
  </si>
  <si>
    <t>SŁUP BRZEGOWY</t>
  </si>
  <si>
    <t>współczynnik  mimośrodowści</t>
  </si>
  <si>
    <r>
      <t>A</t>
    </r>
    <r>
      <rPr>
        <vertAlign val="subscript"/>
        <sz val="14"/>
        <color theme="1"/>
        <rFont val="Calibri"/>
        <family val="2"/>
        <charset val="238"/>
        <scheme val="minor"/>
      </rPr>
      <t>qx</t>
    </r>
  </si>
  <si>
    <r>
      <t>v</t>
    </r>
    <r>
      <rPr>
        <vertAlign val="subscript"/>
        <sz val="14"/>
        <color theme="1"/>
        <rFont val="Calibri"/>
        <family val="2"/>
        <charset val="238"/>
        <scheme val="minor"/>
      </rPr>
      <t>Ed,max</t>
    </r>
  </si>
  <si>
    <r>
      <t>n</t>
    </r>
    <r>
      <rPr>
        <vertAlign val="subscript"/>
        <sz val="14"/>
        <color theme="1"/>
        <rFont val="Calibri"/>
        <family val="2"/>
        <charset val="238"/>
        <scheme val="minor"/>
      </rPr>
      <t>bezp</t>
    </r>
  </si>
  <si>
    <t>beton obliczeniowa</t>
  </si>
  <si>
    <r>
      <t>B20/25    f</t>
    </r>
    <r>
      <rPr>
        <vertAlign val="subscript"/>
        <sz val="14"/>
        <color theme="1"/>
        <rFont val="Calibri"/>
        <family val="2"/>
        <charset val="238"/>
        <scheme val="minor"/>
      </rPr>
      <t>ck</t>
    </r>
  </si>
  <si>
    <r>
      <t>v</t>
    </r>
    <r>
      <rPr>
        <vertAlign val="subscript"/>
        <sz val="14"/>
        <color theme="1"/>
        <rFont val="Calibri"/>
        <family val="2"/>
        <charset val="238"/>
        <scheme val="minor"/>
      </rPr>
      <t>ED,1</t>
    </r>
  </si>
  <si>
    <t>Warunek normowy</t>
  </si>
  <si>
    <r>
      <t>v</t>
    </r>
    <r>
      <rPr>
        <vertAlign val="subscript"/>
        <sz val="14"/>
        <color theme="1"/>
        <rFont val="Calibri"/>
        <family val="2"/>
        <charset val="238"/>
      </rPr>
      <t xml:space="preserve">Rd,max </t>
    </r>
    <r>
      <rPr>
        <sz val="14"/>
        <color theme="1"/>
        <rFont val="Calibri"/>
        <family val="2"/>
        <charset val="238"/>
      </rPr>
      <t>&gt; v</t>
    </r>
    <r>
      <rPr>
        <vertAlign val="subscript"/>
        <sz val="14"/>
        <color theme="1"/>
        <rFont val="Calibri"/>
        <family val="2"/>
        <charset val="238"/>
      </rPr>
      <t>ed0</t>
    </r>
  </si>
  <si>
    <r>
      <t>v</t>
    </r>
    <r>
      <rPr>
        <vertAlign val="subscript"/>
        <sz val="14"/>
        <color theme="1"/>
        <rFont val="Calibri"/>
        <family val="2"/>
        <charset val="238"/>
      </rPr>
      <t xml:space="preserve">Rd,c </t>
    </r>
    <r>
      <rPr>
        <sz val="14"/>
        <color theme="1"/>
        <rFont val="Calibri"/>
        <family val="2"/>
        <charset val="238"/>
      </rPr>
      <t>&gt; v</t>
    </r>
    <r>
      <rPr>
        <vertAlign val="subscript"/>
        <sz val="14"/>
        <color theme="1"/>
        <rFont val="Calibri"/>
        <family val="2"/>
        <charset val="238"/>
      </rPr>
      <t>ed1</t>
    </r>
  </si>
  <si>
    <t>Zadanie 4: PŁYTA Z OTWORAMI</t>
  </si>
  <si>
    <t>Dane i wy niki ogólne</t>
  </si>
  <si>
    <r>
      <t>C25/30   f</t>
    </r>
    <r>
      <rPr>
        <vertAlign val="subscript"/>
        <sz val="14"/>
        <color theme="1"/>
        <rFont val="Calibri"/>
        <family val="2"/>
        <charset val="238"/>
        <scheme val="minor"/>
      </rPr>
      <t>ck</t>
    </r>
  </si>
  <si>
    <t>wsp mimośrodowości</t>
  </si>
  <si>
    <t>współrzędna obwodu</t>
  </si>
  <si>
    <r>
      <t>Nośność u</t>
    </r>
    <r>
      <rPr>
        <vertAlign val="subscript"/>
        <sz val="14"/>
        <color theme="1"/>
        <rFont val="Calibri"/>
        <family val="2"/>
        <charset val="238"/>
        <scheme val="minor"/>
      </rPr>
      <t>1</t>
    </r>
  </si>
  <si>
    <r>
      <t>obwód  u</t>
    </r>
    <r>
      <rPr>
        <vertAlign val="subscript"/>
        <sz val="14"/>
        <color theme="1"/>
        <rFont val="Calibri"/>
        <family val="2"/>
        <charset val="238"/>
        <scheme val="minor"/>
      </rPr>
      <t xml:space="preserve">1 </t>
    </r>
    <r>
      <rPr>
        <sz val="14"/>
        <color theme="1"/>
        <rFont val="Calibri"/>
        <family val="2"/>
        <charset val="238"/>
        <scheme val="minor"/>
      </rPr>
      <t xml:space="preserve">bez redukcji </t>
    </r>
  </si>
  <si>
    <t xml:space="preserve">długość redukcji </t>
  </si>
  <si>
    <r>
      <t>l</t>
    </r>
    <r>
      <rPr>
        <vertAlign val="subscript"/>
        <sz val="14"/>
        <color theme="1"/>
        <rFont val="Calibri"/>
        <family val="2"/>
        <charset val="238"/>
      </rPr>
      <t>1</t>
    </r>
  </si>
  <si>
    <r>
      <t>l</t>
    </r>
    <r>
      <rPr>
        <vertAlign val="subscript"/>
        <sz val="14"/>
        <color theme="1"/>
        <rFont val="Calibri"/>
        <family val="2"/>
        <charset val="238"/>
      </rPr>
      <t xml:space="preserve">2 </t>
    </r>
  </si>
  <si>
    <t>wymiar otworu poziomy</t>
  </si>
  <si>
    <t>wymiar otworu pionowy</t>
  </si>
  <si>
    <r>
      <t>s</t>
    </r>
    <r>
      <rPr>
        <vertAlign val="subscript"/>
        <sz val="14"/>
        <color theme="1"/>
        <rFont val="Calibri"/>
        <family val="2"/>
        <charset val="238"/>
      </rPr>
      <t>O</t>
    </r>
  </si>
  <si>
    <r>
      <t>L</t>
    </r>
    <r>
      <rPr>
        <vertAlign val="subscript"/>
        <sz val="14"/>
        <color theme="1"/>
        <rFont val="Calibri"/>
        <family val="2"/>
        <charset val="238"/>
      </rPr>
      <t>0</t>
    </r>
  </si>
  <si>
    <t xml:space="preserve">szerokość otworu zastępcza </t>
  </si>
  <si>
    <t>odleglość otworu od słupa</t>
  </si>
  <si>
    <r>
      <t>x</t>
    </r>
    <r>
      <rPr>
        <vertAlign val="subscript"/>
        <sz val="14"/>
        <color theme="1"/>
        <rFont val="Calibri"/>
        <family val="2"/>
        <charset val="238"/>
      </rPr>
      <t>O</t>
    </r>
  </si>
  <si>
    <t>obwód  zredukowany</t>
  </si>
  <si>
    <r>
      <t>u</t>
    </r>
    <r>
      <rPr>
        <vertAlign val="subscript"/>
        <sz val="14"/>
        <color theme="1"/>
        <rFont val="Calibri"/>
        <family val="2"/>
        <charset val="238"/>
      </rPr>
      <t>1</t>
    </r>
    <r>
      <rPr>
        <sz val="14"/>
        <color theme="1"/>
        <rFont val="Calibri"/>
        <family val="2"/>
        <charset val="238"/>
      </rPr>
      <t>*</t>
    </r>
  </si>
  <si>
    <r>
      <t>naprężenia v</t>
    </r>
    <r>
      <rPr>
        <vertAlign val="subscript"/>
        <sz val="14"/>
        <color theme="1"/>
        <rFont val="Calibri"/>
        <family val="2"/>
        <charset val="238"/>
        <scheme val="minor"/>
      </rPr>
      <t>1</t>
    </r>
  </si>
  <si>
    <t>Przykład 6: Płyta fundamentowa</t>
  </si>
  <si>
    <r>
      <t>V</t>
    </r>
    <r>
      <rPr>
        <vertAlign val="subscript"/>
        <sz val="14"/>
        <color theme="1"/>
        <rFont val="Calibri"/>
        <family val="2"/>
        <charset val="238"/>
        <scheme val="minor"/>
      </rPr>
      <t>Edred</t>
    </r>
  </si>
  <si>
    <r>
      <t>V</t>
    </r>
    <r>
      <rPr>
        <vertAlign val="subscript"/>
        <sz val="14"/>
        <color theme="1"/>
        <rFont val="Calibri"/>
        <family val="2"/>
        <charset val="238"/>
        <scheme val="minor"/>
      </rPr>
      <t>q</t>
    </r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</si>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</sst>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0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bscript"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vertAlign val="subscript"/>
      <sz val="14"/>
      <color theme="1"/>
      <name val="Calibri"/>
      <family val="2"/>
      <charset val="238"/>
    </font>
    <font>
      <vertAlign val="superscript"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sz val="14"/>
      <color rgb="FF000000"/>
      <name val="MathJax_Main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66" fontId="2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3" borderId="6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Border="1" applyAlignment="1"/>
    <xf numFmtId="2" fontId="7" fillId="0" borderId="4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1" fontId="2" fillId="0" borderId="17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6" fillId="0" borderId="0" xfId="0" applyFont="1"/>
    <xf numFmtId="0" fontId="4" fillId="0" borderId="14" xfId="0" applyFont="1" applyBorder="1" applyAlignment="1">
      <alignment horizontal="center"/>
    </xf>
    <xf numFmtId="166" fontId="2" fillId="0" borderId="15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2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164" fontId="2" fillId="0" borderId="20" xfId="0" applyNumberFormat="1" applyFont="1" applyBorder="1" applyAlignment="1">
      <alignment horizontal="right"/>
    </xf>
    <xf numFmtId="0" fontId="7" fillId="4" borderId="13" xfId="0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1" fontId="2" fillId="0" borderId="22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2" fontId="2" fillId="0" borderId="22" xfId="0" applyNumberFormat="1" applyFont="1" applyBorder="1" applyAlignment="1">
      <alignment horizontal="right"/>
    </xf>
    <xf numFmtId="0" fontId="7" fillId="4" borderId="9" xfId="0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right"/>
    </xf>
    <xf numFmtId="1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quotePrefix="1" applyFont="1"/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1" fontId="2" fillId="0" borderId="18" xfId="0" applyNumberFormat="1" applyFont="1" applyBorder="1" applyAlignment="1">
      <alignment horizontal="right"/>
    </xf>
    <xf numFmtId="166" fontId="2" fillId="0" borderId="18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6" xfId="0" applyNumberFormat="1" applyFont="1" applyBorder="1" applyAlignment="1">
      <alignment horizontal="right"/>
    </xf>
    <xf numFmtId="0" fontId="2" fillId="0" borderId="18" xfId="0" applyFont="1" applyBorder="1"/>
    <xf numFmtId="0" fontId="4" fillId="0" borderId="18" xfId="0" applyFont="1" applyBorder="1"/>
    <xf numFmtId="1" fontId="2" fillId="0" borderId="18" xfId="0" applyNumberFormat="1" applyFont="1" applyBorder="1"/>
    <xf numFmtId="2" fontId="2" fillId="0" borderId="18" xfId="0" applyNumberFormat="1" applyFont="1" applyBorder="1"/>
    <xf numFmtId="164" fontId="2" fillId="0" borderId="0" xfId="0" applyNumberFormat="1" applyFont="1" applyBorder="1" applyAlignment="1">
      <alignment horizontal="right"/>
    </xf>
    <xf numFmtId="0" fontId="9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0" fontId="7" fillId="4" borderId="20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0" fontId="7" fillId="4" borderId="6" xfId="0" applyFont="1" applyFill="1" applyBorder="1" applyAlignment="1">
      <alignment horizontal="center"/>
    </xf>
    <xf numFmtId="166" fontId="2" fillId="0" borderId="2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0" fontId="4" fillId="0" borderId="25" xfId="0" applyFont="1" applyBorder="1"/>
    <xf numFmtId="0" fontId="8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3" xfId="0" applyFont="1" applyBorder="1"/>
    <xf numFmtId="166" fontId="2" fillId="0" borderId="4" xfId="0" applyNumberFormat="1" applyFont="1" applyBorder="1"/>
    <xf numFmtId="164" fontId="2" fillId="0" borderId="4" xfId="0" applyNumberFormat="1" applyFont="1" applyBorder="1"/>
    <xf numFmtId="0" fontId="4" fillId="0" borderId="5" xfId="0" applyFont="1" applyBorder="1"/>
    <xf numFmtId="164" fontId="2" fillId="0" borderId="6" xfId="0" applyNumberFormat="1" applyFont="1" applyBorder="1"/>
    <xf numFmtId="0" fontId="4" fillId="0" borderId="1" xfId="0" applyFont="1" applyBorder="1"/>
    <xf numFmtId="2" fontId="7" fillId="0" borderId="6" xfId="0" applyNumberFormat="1" applyFont="1" applyBorder="1"/>
    <xf numFmtId="0" fontId="5" fillId="0" borderId="3" xfId="0" applyFont="1" applyBorder="1"/>
    <xf numFmtId="2" fontId="2" fillId="0" borderId="4" xfId="0" applyNumberFormat="1" applyFont="1" applyBorder="1"/>
    <xf numFmtId="1" fontId="2" fillId="0" borderId="2" xfId="0" applyNumberFormat="1" applyFont="1" applyBorder="1"/>
    <xf numFmtId="0" fontId="2" fillId="0" borderId="5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44</xdr:row>
      <xdr:rowOff>66675</xdr:rowOff>
    </xdr:from>
    <xdr:to>
      <xdr:col>13</xdr:col>
      <xdr:colOff>304800</xdr:colOff>
      <xdr:row>58</xdr:row>
      <xdr:rowOff>161925</xdr:rowOff>
    </xdr:to>
    <xdr:sp macro="" textlink="">
      <xdr:nvSpPr>
        <xdr:cNvPr id="2" name="pole tekstowe 1"/>
        <xdr:cNvSpPr txBox="1"/>
      </xdr:nvSpPr>
      <xdr:spPr>
        <a:xfrm>
          <a:off x="7038975" y="12125325"/>
          <a:ext cx="4457700" cy="3705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/>
            <a:t>Do  poszukiwania przekroju krytycznego x</a:t>
          </a:r>
          <a:r>
            <a:rPr lang="pl-PL" sz="1400" baseline="-25000"/>
            <a:t>max</a:t>
          </a:r>
          <a:r>
            <a:rPr lang="pl-PL" sz="1400"/>
            <a:t> zastosowano dodatek Solver.</a:t>
          </a:r>
        </a:p>
        <a:p>
          <a:r>
            <a:rPr lang="pl-PL" sz="1400"/>
            <a:t>Jeśli</a:t>
          </a:r>
          <a:r>
            <a:rPr lang="pl-PL" sz="1400" baseline="0"/>
            <a:t> nie masz zainstalowanego dodatku, to wykonaj:</a:t>
          </a:r>
        </a:p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programie Excel 2010 i nowszym, przejdź do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Plik &gt; Opcje</a:t>
          </a:r>
          <a:endParaRPr lang="pl-PL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polu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Dostępne dodatki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zaznacz pole wyboru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Dodatek Solver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 następnie kliknij przycisk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Jeśli pozycja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Dodatek Solver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nie jest wyświetlana w polu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Dostępne dodatki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kliknij przycisk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Przeglądaj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aby odnaleźć ten dodatek.</a:t>
          </a:r>
        </a:p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Jeśli zostanie wyświetlony monit informujący, że dodatek Solver nie został zainstalowany na komputerze, kliknij przycisk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Tak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aby go zainstalować.</a:t>
          </a:r>
        </a:p>
        <a:p>
          <a:endParaRPr lang="pl-PL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załadowaniu dodatku Solver polecenie </a:t>
          </a:r>
          <a:r>
            <a:rPr lang="pl-PL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Solver</a:t>
          </a:r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będzie dostępne w grupie </a:t>
          </a:r>
          <a:r>
            <a:rPr lang="pl-PL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Analiza</a:t>
          </a:r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na karcie </a:t>
          </a:r>
          <a:r>
            <a:rPr lang="pl-PL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Dane</a:t>
          </a:r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Pozukiwanie przekroju</a:t>
          </a:r>
          <a:r>
            <a:rPr lang="pl-PL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krytycznego:</a:t>
          </a:r>
        </a:p>
        <a:p>
          <a:r>
            <a:rPr lang="pl-PL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Stań na polu  n (błekitne) </a:t>
          </a:r>
        </a:p>
        <a:p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Wybierz </a:t>
          </a:r>
          <a:r>
            <a:rPr lang="pl-PL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Dane</a:t>
          </a:r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 W polu Ustaw  wpisz n_max, w polu cel  wpisz  x_max.</a:t>
          </a:r>
        </a:p>
        <a:p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Naciśnij</a:t>
          </a:r>
          <a:r>
            <a:rPr lang="pl-PL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rozwiąż </a:t>
          </a:r>
          <a:r>
            <a:rPr lang="pl-PL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pl-PL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</a:t>
          </a:r>
          <a:endParaRPr lang="pl-PL" sz="14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400"/>
        </a:p>
        <a:p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43</xdr:row>
      <xdr:rowOff>9525</xdr:rowOff>
    </xdr:from>
    <xdr:to>
      <xdr:col>17</xdr:col>
      <xdr:colOff>552450</xdr:colOff>
      <xdr:row>56</xdr:row>
      <xdr:rowOff>95250</xdr:rowOff>
    </xdr:to>
    <xdr:sp macro="" textlink="">
      <xdr:nvSpPr>
        <xdr:cNvPr id="2" name="pole tekstowe 1"/>
        <xdr:cNvSpPr txBox="1"/>
      </xdr:nvSpPr>
      <xdr:spPr>
        <a:xfrm>
          <a:off x="9725025" y="11887200"/>
          <a:ext cx="4829175" cy="369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/>
            <a:t>Do  poszukiwania przekroju krytycznego x</a:t>
          </a:r>
          <a:r>
            <a:rPr lang="pl-PL" sz="1400" baseline="-25000"/>
            <a:t>max</a:t>
          </a:r>
          <a:r>
            <a:rPr lang="pl-PL" sz="1400"/>
            <a:t> zastosowano dodatek Solver.</a:t>
          </a:r>
        </a:p>
        <a:p>
          <a:r>
            <a:rPr lang="pl-PL" sz="1400"/>
            <a:t>Jeśli</a:t>
          </a:r>
          <a:r>
            <a:rPr lang="pl-PL" sz="1400" baseline="0"/>
            <a:t> nie masz zainstalowanego dodatku, to wykonaj:</a:t>
          </a:r>
        </a:p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programie Excel 2010 i nowszym, przejdź do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Plik &gt; Opcje</a:t>
          </a:r>
          <a:endParaRPr lang="pl-PL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polu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Dostępne dodatki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zaznacz pole wyboru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Dodatek Solver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 następnie kliknij przycisk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Jeśli pozycja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Dodatek Solver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nie jest wyświetlana w polu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Dostępne dodatki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kliknij przycisk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Przeglądaj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aby odnaleźć ten dodatek.</a:t>
          </a:r>
        </a:p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Jeśli zostanie wyświetlony monit informujący, że dodatek Solver nie został zainstalowany na komputerze, kliknij przycisk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Tak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aby go zainstalować.</a:t>
          </a:r>
        </a:p>
        <a:p>
          <a:endParaRPr lang="pl-PL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załadowaniu dodatku Solver polecenie </a:t>
          </a:r>
          <a:r>
            <a:rPr lang="pl-PL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Solver</a:t>
          </a:r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będzie dostępne w grupie </a:t>
          </a:r>
          <a:r>
            <a:rPr lang="pl-PL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Analiza</a:t>
          </a:r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na karcie </a:t>
          </a:r>
          <a:r>
            <a:rPr lang="pl-PL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Dane</a:t>
          </a:r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Pozukiwanie przekroju</a:t>
          </a:r>
          <a:r>
            <a:rPr lang="pl-PL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krytycznego:</a:t>
          </a:r>
        </a:p>
        <a:p>
          <a:r>
            <a:rPr lang="pl-PL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Stań na polu  n (błekitne) </a:t>
          </a:r>
        </a:p>
        <a:p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Wybierz </a:t>
          </a:r>
          <a:r>
            <a:rPr lang="pl-PL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Dane</a:t>
          </a:r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 W polu Ustaw  wpisz n_max, w polu cel  wpisz  x_max.</a:t>
          </a:r>
        </a:p>
        <a:p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Naciśnij</a:t>
          </a:r>
          <a:r>
            <a:rPr lang="pl-PL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rozwiąż </a:t>
          </a:r>
          <a:r>
            <a:rPr lang="pl-PL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pl-PL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</a:t>
          </a:r>
          <a:endParaRPr lang="pl-PL" sz="14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400"/>
        </a:p>
        <a:p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41</xdr:row>
      <xdr:rowOff>66675</xdr:rowOff>
    </xdr:from>
    <xdr:to>
      <xdr:col>14</xdr:col>
      <xdr:colOff>19050</xdr:colOff>
      <xdr:row>56</xdr:row>
      <xdr:rowOff>114300</xdr:rowOff>
    </xdr:to>
    <xdr:sp macro="" textlink="">
      <xdr:nvSpPr>
        <xdr:cNvPr id="2" name="pole tekstowe 1"/>
        <xdr:cNvSpPr txBox="1"/>
      </xdr:nvSpPr>
      <xdr:spPr>
        <a:xfrm>
          <a:off x="7467600" y="11296650"/>
          <a:ext cx="4457700" cy="3705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/>
            <a:t>Do  poszukiwania przekroju krytycznego x</a:t>
          </a:r>
          <a:r>
            <a:rPr lang="pl-PL" sz="1400" baseline="-25000"/>
            <a:t>max</a:t>
          </a:r>
          <a:r>
            <a:rPr lang="pl-PL" sz="1400"/>
            <a:t> zastosowano dodatek Solver.</a:t>
          </a:r>
        </a:p>
        <a:p>
          <a:r>
            <a:rPr lang="pl-PL" sz="1400"/>
            <a:t>Jeśli</a:t>
          </a:r>
          <a:r>
            <a:rPr lang="pl-PL" sz="1400" baseline="0"/>
            <a:t> nie masz zainstalowanego dodatku, to wykonaj:</a:t>
          </a:r>
        </a:p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programie Excel 2010 i nowszym, przejdź do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Plik &gt; Opcje</a:t>
          </a:r>
          <a:endParaRPr lang="pl-PL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polu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Dostępne dodatki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zaznacz pole wyboru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Dodatek Solver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 następnie kliknij przycisk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Jeśli pozycja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Dodatek Solver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nie jest wyświetlana w polu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Dostępne dodatki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kliknij przycisk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Przeglądaj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aby odnaleźć ten dodatek.</a:t>
          </a:r>
        </a:p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Jeśli zostanie wyświetlony monit informujący, że dodatek Solver nie został zainstalowany na komputerze, kliknij przycisk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Tak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aby go zainstalować.</a:t>
          </a:r>
        </a:p>
        <a:p>
          <a:endParaRPr lang="pl-PL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załadowaniu dodatku Solver polecenie </a:t>
          </a:r>
          <a:r>
            <a:rPr lang="pl-PL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Solver</a:t>
          </a:r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będzie dostępne w grupie </a:t>
          </a:r>
          <a:r>
            <a:rPr lang="pl-PL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Analiza</a:t>
          </a:r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na karcie </a:t>
          </a:r>
          <a:r>
            <a:rPr lang="pl-PL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Dane</a:t>
          </a:r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Pozukiwanie przekroju</a:t>
          </a:r>
          <a:r>
            <a:rPr lang="pl-PL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krytycznego:</a:t>
          </a:r>
        </a:p>
        <a:p>
          <a:r>
            <a:rPr lang="pl-PL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Stań na polu  n (błekitne) </a:t>
          </a:r>
        </a:p>
        <a:p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Wybierz </a:t>
          </a:r>
          <a:r>
            <a:rPr lang="pl-PL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Dane</a:t>
          </a:r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 W polu Ustaw  wpisz n_max, w polu cel x_max.</a:t>
          </a:r>
        </a:p>
        <a:p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Naciśnij</a:t>
          </a:r>
          <a:r>
            <a:rPr lang="pl-PL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rozwiąż </a:t>
          </a:r>
          <a:r>
            <a:rPr lang="pl-PL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pl-PL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</a:t>
          </a:r>
          <a:endParaRPr lang="pl-PL" sz="14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400"/>
        </a:p>
        <a:p>
          <a:endParaRPr lang="pl-P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41</xdr:row>
      <xdr:rowOff>66675</xdr:rowOff>
    </xdr:from>
    <xdr:to>
      <xdr:col>14</xdr:col>
      <xdr:colOff>19050</xdr:colOff>
      <xdr:row>56</xdr:row>
      <xdr:rowOff>114300</xdr:rowOff>
    </xdr:to>
    <xdr:sp macro="" textlink="">
      <xdr:nvSpPr>
        <xdr:cNvPr id="2" name="pole tekstowe 1"/>
        <xdr:cNvSpPr txBox="1"/>
      </xdr:nvSpPr>
      <xdr:spPr>
        <a:xfrm>
          <a:off x="7467600" y="11296650"/>
          <a:ext cx="4457700" cy="3743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/>
            <a:t>Do  poszukiwania przekroju krytycznego x</a:t>
          </a:r>
          <a:r>
            <a:rPr lang="pl-PL" sz="1400" baseline="-25000"/>
            <a:t>max</a:t>
          </a:r>
          <a:r>
            <a:rPr lang="pl-PL" sz="1400"/>
            <a:t> zastosowano dodatek Solver.</a:t>
          </a:r>
        </a:p>
        <a:p>
          <a:r>
            <a:rPr lang="pl-PL" sz="1400"/>
            <a:t>Jeśli</a:t>
          </a:r>
          <a:r>
            <a:rPr lang="pl-PL" sz="1400" baseline="0"/>
            <a:t> nie masz zainstalowanego dodatku, to wykonaj:</a:t>
          </a:r>
        </a:p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programie Excel 2010 i nowszym, przejdź do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Plik &gt; Opcje</a:t>
          </a:r>
          <a:endParaRPr lang="pl-PL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polu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Dostępne dodatki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zaznacz pole wyboru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Dodatek Solver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 następnie kliknij przycisk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Jeśli pozycja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Dodatek Solver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nie jest wyświetlana w polu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Dostępne dodatki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kliknij przycisk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Przeglądaj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aby odnaleźć ten dodatek.</a:t>
          </a:r>
        </a:p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Jeśli zostanie wyświetlony monit informujący, że dodatek Solver nie został zainstalowany na komputerze, kliknij przycisk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Tak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aby go zainstalować.</a:t>
          </a:r>
        </a:p>
        <a:p>
          <a:endParaRPr lang="pl-PL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załadowaniu dodatku Solver polecenie </a:t>
          </a:r>
          <a:r>
            <a:rPr lang="pl-PL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Solver</a:t>
          </a:r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będzie dostępne w grupie </a:t>
          </a:r>
          <a:r>
            <a:rPr lang="pl-PL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Analiza</a:t>
          </a:r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na karcie </a:t>
          </a:r>
          <a:r>
            <a:rPr lang="pl-PL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Dane</a:t>
          </a:r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Pozukiwanie przekroju</a:t>
          </a:r>
          <a:r>
            <a:rPr lang="pl-PL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krytycznego:</a:t>
          </a:r>
        </a:p>
        <a:p>
          <a:r>
            <a:rPr lang="pl-PL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Stań na polu  n (błekitne) </a:t>
          </a:r>
        </a:p>
        <a:p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Wybierz </a:t>
          </a:r>
          <a:r>
            <a:rPr lang="pl-PL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Dane</a:t>
          </a:r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 W polu Ustaw  wpisz n_max, w polu cel x_max.</a:t>
          </a:r>
        </a:p>
        <a:p>
          <a:r>
            <a:rPr lang="pl-PL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Naciśnij</a:t>
          </a:r>
          <a:r>
            <a:rPr lang="pl-PL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rozwiąż </a:t>
          </a:r>
          <a:r>
            <a:rPr lang="pl-PL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lang="pl-PL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</a:t>
          </a:r>
          <a:endParaRPr lang="pl-PL" sz="14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400"/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09"/>
  <sheetViews>
    <sheetView tabSelected="1" topLeftCell="A58" workbookViewId="0">
      <selection activeCell="I42" sqref="I42"/>
    </sheetView>
  </sheetViews>
  <sheetFormatPr defaultRowHeight="18.75"/>
  <cols>
    <col min="3" max="3" width="29.85546875" style="1" customWidth="1"/>
    <col min="4" max="4" width="9.7109375" style="1" customWidth="1"/>
    <col min="5" max="5" width="17.5703125" style="2" customWidth="1"/>
    <col min="6" max="6" width="19.42578125" style="3" customWidth="1"/>
    <col min="7" max="7" width="9.140625" style="1"/>
    <col min="8" max="8" width="14.7109375" customWidth="1"/>
    <col min="9" max="9" width="12.5703125" customWidth="1"/>
  </cols>
  <sheetData>
    <row r="1" spans="3:7" ht="19.5" thickBot="1"/>
    <row r="2" spans="3:7" ht="19.5" thickBot="1">
      <c r="C2" s="93" t="s">
        <v>163</v>
      </c>
      <c r="D2" s="94"/>
      <c r="E2" s="94"/>
      <c r="F2" s="94"/>
      <c r="G2" s="95"/>
    </row>
    <row r="3" spans="3:7" ht="19.5" thickBot="1">
      <c r="C3" s="28" t="s">
        <v>253</v>
      </c>
      <c r="D3" s="28"/>
      <c r="E3" s="28"/>
      <c r="F3" s="28"/>
      <c r="G3" s="25"/>
    </row>
    <row r="4" spans="3:7" ht="20.25">
      <c r="C4" s="92" t="s">
        <v>83</v>
      </c>
      <c r="D4" s="92"/>
      <c r="E4" s="4" t="s">
        <v>38</v>
      </c>
      <c r="F4" s="5">
        <v>400</v>
      </c>
      <c r="G4" s="1" t="s">
        <v>0</v>
      </c>
    </row>
    <row r="5" spans="3:7" ht="20.25">
      <c r="C5" s="92" t="s">
        <v>84</v>
      </c>
      <c r="D5" s="92"/>
      <c r="E5" s="6" t="s">
        <v>39</v>
      </c>
      <c r="F5" s="7">
        <v>400</v>
      </c>
      <c r="G5" s="1" t="s">
        <v>0</v>
      </c>
    </row>
    <row r="6" spans="3:7" ht="20.25">
      <c r="C6" s="92" t="s">
        <v>24</v>
      </c>
      <c r="D6" s="92"/>
      <c r="E6" s="6" t="s">
        <v>143</v>
      </c>
      <c r="F6" s="7">
        <v>30</v>
      </c>
      <c r="G6" s="1" t="s">
        <v>26</v>
      </c>
    </row>
    <row r="7" spans="3:7" ht="20.25">
      <c r="C7" s="92" t="s">
        <v>58</v>
      </c>
      <c r="D7" s="92"/>
      <c r="E7" s="8" t="s">
        <v>40</v>
      </c>
      <c r="F7" s="7">
        <v>1.4</v>
      </c>
    </row>
    <row r="8" spans="3:7" ht="20.25">
      <c r="C8" s="1" t="s">
        <v>60</v>
      </c>
      <c r="E8" s="8" t="s">
        <v>41</v>
      </c>
      <c r="F8" s="9">
        <f>f_ck/g_c</f>
        <v>21.428571428571431</v>
      </c>
      <c r="G8" s="1" t="s">
        <v>26</v>
      </c>
    </row>
    <row r="9" spans="3:7">
      <c r="C9" s="92" t="s">
        <v>62</v>
      </c>
      <c r="D9" s="92"/>
      <c r="E9" s="8" t="s">
        <v>4</v>
      </c>
      <c r="F9" s="7">
        <v>1.1499999999999999</v>
      </c>
    </row>
    <row r="10" spans="3:7">
      <c r="C10" s="92" t="s">
        <v>36</v>
      </c>
      <c r="D10" s="92"/>
      <c r="E10" s="8" t="s">
        <v>9</v>
      </c>
      <c r="F10" s="7">
        <v>300</v>
      </c>
      <c r="G10" s="1" t="s">
        <v>0</v>
      </c>
    </row>
    <row r="11" spans="3:7" ht="20.25">
      <c r="C11" s="92" t="s">
        <v>85</v>
      </c>
      <c r="D11" s="92"/>
      <c r="E11" s="8" t="s">
        <v>63</v>
      </c>
      <c r="F11" s="7">
        <v>40</v>
      </c>
      <c r="G11" s="1" t="s">
        <v>0</v>
      </c>
    </row>
    <row r="12" spans="3:7" ht="20.25">
      <c r="C12" s="92" t="s">
        <v>86</v>
      </c>
      <c r="D12" s="92"/>
      <c r="E12" s="8" t="s">
        <v>64</v>
      </c>
      <c r="F12" s="10">
        <f>h-a_y</f>
        <v>260</v>
      </c>
      <c r="G12" s="1" t="s">
        <v>0</v>
      </c>
    </row>
    <row r="13" spans="3:7" ht="20.25">
      <c r="C13" s="92" t="s">
        <v>87</v>
      </c>
      <c r="D13" s="92"/>
      <c r="E13" s="8" t="s">
        <v>65</v>
      </c>
      <c r="F13" s="10">
        <v>60</v>
      </c>
      <c r="G13" s="1" t="s">
        <v>0</v>
      </c>
    </row>
    <row r="14" spans="3:7" ht="20.25">
      <c r="C14" s="92" t="s">
        <v>88</v>
      </c>
      <c r="D14" s="92"/>
      <c r="E14" s="8" t="s">
        <v>66</v>
      </c>
      <c r="F14" s="10">
        <f>h-a_z</f>
        <v>240</v>
      </c>
      <c r="G14" s="1" t="s">
        <v>0</v>
      </c>
    </row>
    <row r="15" spans="3:7">
      <c r="C15" s="92" t="s">
        <v>145</v>
      </c>
      <c r="D15" s="92"/>
      <c r="E15" s="53" t="s">
        <v>13</v>
      </c>
      <c r="F15" s="54">
        <f>(d_y+d_z)/2</f>
        <v>250</v>
      </c>
      <c r="G15" s="1" t="s">
        <v>0</v>
      </c>
    </row>
    <row r="16" spans="3:7" ht="20.25">
      <c r="C16" s="1" t="s">
        <v>159</v>
      </c>
      <c r="E16" s="8" t="s">
        <v>50</v>
      </c>
      <c r="F16" s="12">
        <v>8.5000000000000006E-3</v>
      </c>
    </row>
    <row r="17" spans="3:7" ht="21" thickBot="1">
      <c r="C17" s="1" t="s">
        <v>160</v>
      </c>
      <c r="E17" s="13" t="s">
        <v>51</v>
      </c>
      <c r="F17" s="14">
        <v>4.7999999999999996E-3</v>
      </c>
    </row>
    <row r="18" spans="3:7" ht="21" thickBot="1">
      <c r="C18" s="1" t="s">
        <v>161</v>
      </c>
      <c r="E18" s="58" t="s">
        <v>52</v>
      </c>
      <c r="F18" s="59">
        <f>(r_ly*r_lz)^0.5</f>
        <v>6.3874877690685249E-3</v>
      </c>
    </row>
    <row r="19" spans="3:7" ht="19.5" thickBot="1">
      <c r="C19" s="1" t="s">
        <v>239</v>
      </c>
      <c r="E19" s="82" t="s">
        <v>238</v>
      </c>
      <c r="F19" s="66" t="str">
        <f>IF(r_l&lt; 0.02, "OK", "zmniejsz zbrojenie")</f>
        <v>OK</v>
      </c>
    </row>
    <row r="20" spans="3:7">
      <c r="C20" s="1" t="s">
        <v>29</v>
      </c>
      <c r="E20" s="15" t="s">
        <v>23</v>
      </c>
      <c r="F20" s="55">
        <f>0.6*(1-f_ck/250)</f>
        <v>0.52800000000000002</v>
      </c>
    </row>
    <row r="21" spans="3:7" ht="21" thickBot="1">
      <c r="C21" s="1" t="s">
        <v>173</v>
      </c>
      <c r="E21" s="13" t="s">
        <v>55</v>
      </c>
      <c r="F21" s="49">
        <f>0.4*ni*f_cd</f>
        <v>4.5257142857142867</v>
      </c>
    </row>
    <row r="22" spans="3:7" ht="20.25">
      <c r="C22" s="1" t="s">
        <v>93</v>
      </c>
      <c r="E22" s="15" t="s">
        <v>71</v>
      </c>
      <c r="F22" s="56">
        <v>0.18</v>
      </c>
    </row>
    <row r="23" spans="3:7" ht="20.25">
      <c r="C23" s="1" t="s">
        <v>94</v>
      </c>
      <c r="E23" s="8" t="s">
        <v>72</v>
      </c>
      <c r="F23" s="20">
        <f>F22/g_c</f>
        <v>0.12857142857142859</v>
      </c>
    </row>
    <row r="24" spans="3:7">
      <c r="C24" s="1" t="s">
        <v>73</v>
      </c>
      <c r="E24" s="8" t="s">
        <v>32</v>
      </c>
      <c r="F24" s="19">
        <f>MIN((1+(200/d)^0.5),2)</f>
        <v>1.8944271909999157</v>
      </c>
    </row>
    <row r="25" spans="3:7" ht="20.25">
      <c r="C25" s="1" t="s">
        <v>92</v>
      </c>
      <c r="E25" s="21" t="s">
        <v>175</v>
      </c>
      <c r="F25" s="20">
        <f>0.035*F24^(3/2)*f_ck^0.5</f>
        <v>0.49985673669876474</v>
      </c>
    </row>
    <row r="26" spans="3:7" ht="20.25">
      <c r="C26" s="1" t="s">
        <v>174</v>
      </c>
      <c r="E26" s="8" t="s">
        <v>202</v>
      </c>
      <c r="F26" s="9">
        <v>0</v>
      </c>
      <c r="G26" s="73" t="s">
        <v>25</v>
      </c>
    </row>
    <row r="27" spans="3:7" ht="21" thickBot="1">
      <c r="C27" s="38"/>
      <c r="D27" s="38"/>
      <c r="E27" s="13" t="s">
        <v>56</v>
      </c>
      <c r="F27" s="57">
        <f>MAX(F23*F24*(100*r_l*f_ck)^(1/3)+F26,ni_min+F26)</f>
        <v>0.65178770930905683</v>
      </c>
      <c r="G27" s="1" t="s">
        <v>26</v>
      </c>
    </row>
    <row r="28" spans="3:7" ht="19.5" thickBot="1">
      <c r="C28" s="38" t="s">
        <v>146</v>
      </c>
      <c r="E28"/>
      <c r="F28"/>
    </row>
    <row r="29" spans="3:7" ht="20.25">
      <c r="C29" s="1" t="s">
        <v>147</v>
      </c>
      <c r="E29" s="4" t="s">
        <v>43</v>
      </c>
      <c r="F29" s="5">
        <v>0</v>
      </c>
      <c r="G29" s="1" t="s">
        <v>0</v>
      </c>
    </row>
    <row r="30" spans="3:7" ht="21" thickBot="1">
      <c r="C30" s="1" t="s">
        <v>148</v>
      </c>
      <c r="E30" s="22" t="s">
        <v>44</v>
      </c>
      <c r="F30" s="50">
        <v>0</v>
      </c>
      <c r="G30" s="1" t="s">
        <v>0</v>
      </c>
    </row>
    <row r="31" spans="3:7" ht="19.5" thickBot="1">
      <c r="C31" s="1" t="s">
        <v>149</v>
      </c>
      <c r="E31"/>
      <c r="F31"/>
    </row>
    <row r="32" spans="3:7" ht="21.75">
      <c r="C32" s="1" t="s">
        <v>150</v>
      </c>
      <c r="E32" s="4" t="s">
        <v>45</v>
      </c>
      <c r="F32" s="5">
        <v>2215</v>
      </c>
      <c r="G32" s="1" t="s">
        <v>7</v>
      </c>
    </row>
    <row r="33" spans="3:8" ht="20.25">
      <c r="C33" s="1" t="s">
        <v>151</v>
      </c>
      <c r="E33" s="6" t="s">
        <v>46</v>
      </c>
      <c r="F33" s="7">
        <v>1010.2</v>
      </c>
      <c r="G33" s="1" t="s">
        <v>7</v>
      </c>
    </row>
    <row r="34" spans="3:8" ht="19.5">
      <c r="C34" s="1" t="s">
        <v>170</v>
      </c>
      <c r="E34" s="76" t="s">
        <v>171</v>
      </c>
      <c r="F34" s="77">
        <f>V_Ed_d-V_Ed_g</f>
        <v>1204.8</v>
      </c>
      <c r="G34" s="1" t="s">
        <v>7</v>
      </c>
    </row>
    <row r="35" spans="3:8" ht="21.75">
      <c r="C35" s="1" t="s">
        <v>152</v>
      </c>
      <c r="E35" s="6" t="s">
        <v>162</v>
      </c>
      <c r="F35" s="7">
        <v>6.2</v>
      </c>
      <c r="G35" s="1" t="s">
        <v>47</v>
      </c>
    </row>
    <row r="36" spans="3:8" ht="21.75">
      <c r="C36" s="1" t="s">
        <v>76</v>
      </c>
      <c r="E36" s="8" t="s">
        <v>74</v>
      </c>
      <c r="F36" s="7">
        <v>1.35</v>
      </c>
      <c r="G36" s="1" t="s">
        <v>47</v>
      </c>
    </row>
    <row r="37" spans="3:8" ht="21.75">
      <c r="C37" s="1" t="s">
        <v>153</v>
      </c>
      <c r="E37" s="6" t="s">
        <v>131</v>
      </c>
      <c r="F37" s="7">
        <v>3.5</v>
      </c>
      <c r="G37" s="1" t="s">
        <v>47</v>
      </c>
    </row>
    <row r="38" spans="3:8" ht="20.25">
      <c r="C38" s="1" t="s">
        <v>154</v>
      </c>
      <c r="E38" s="6" t="s">
        <v>164</v>
      </c>
      <c r="F38" s="7">
        <v>1</v>
      </c>
    </row>
    <row r="39" spans="3:8" ht="21.75">
      <c r="C39" s="1" t="s">
        <v>155</v>
      </c>
      <c r="E39" s="6" t="s">
        <v>132</v>
      </c>
      <c r="F39" s="7">
        <v>0.8</v>
      </c>
      <c r="G39" s="1" t="s">
        <v>47</v>
      </c>
    </row>
    <row r="40" spans="3:8" ht="21.75">
      <c r="C40" s="1" t="s">
        <v>157</v>
      </c>
      <c r="E40" s="6" t="s">
        <v>133</v>
      </c>
      <c r="F40" s="7">
        <v>0.5</v>
      </c>
      <c r="G40" s="1" t="s">
        <v>47</v>
      </c>
    </row>
    <row r="41" spans="3:8" ht="20.25">
      <c r="C41" s="1" t="s">
        <v>156</v>
      </c>
      <c r="E41" s="6" t="s">
        <v>165</v>
      </c>
      <c r="F41" s="7">
        <v>0.7</v>
      </c>
      <c r="H41" s="1"/>
    </row>
    <row r="42" spans="3:8" ht="20.25">
      <c r="C42" s="1" t="s">
        <v>77</v>
      </c>
      <c r="E42" s="8" t="s">
        <v>78</v>
      </c>
      <c r="F42" s="7">
        <v>1.5</v>
      </c>
    </row>
    <row r="43" spans="3:8" ht="21.75">
      <c r="C43" s="1" t="s">
        <v>158</v>
      </c>
      <c r="E43" s="6" t="s">
        <v>75</v>
      </c>
      <c r="F43" s="9">
        <f>g_G*G_k+g_Q*(psi_u*Q_ku+psi_p*Q_kś+psi_p*Q_kp)</f>
        <v>14.984999999999999</v>
      </c>
      <c r="G43" s="1" t="s">
        <v>47</v>
      </c>
    </row>
    <row r="44" spans="3:8" ht="19.5" thickBot="1">
      <c r="C44" s="27" t="s">
        <v>101</v>
      </c>
      <c r="E44" s="1"/>
      <c r="F44" s="1"/>
    </row>
    <row r="45" spans="3:8" ht="21" thickBot="1">
      <c r="C45" s="1" t="s">
        <v>100</v>
      </c>
      <c r="E45" s="62" t="s">
        <v>53</v>
      </c>
      <c r="F45" s="63">
        <f>2*(c_y+F5)</f>
        <v>1600</v>
      </c>
      <c r="G45" s="1" t="s">
        <v>0</v>
      </c>
    </row>
    <row r="46" spans="3:8" ht="21" thickBot="1">
      <c r="E46" s="64" t="s">
        <v>167</v>
      </c>
      <c r="F46" s="65">
        <f>beta*F34/d/(h_H+u_0)*1000</f>
        <v>3.4637999999999995</v>
      </c>
      <c r="G46" s="1" t="s">
        <v>26</v>
      </c>
    </row>
    <row r="47" spans="3:8" ht="21" thickBot="1">
      <c r="E47" s="39" t="s">
        <v>183</v>
      </c>
      <c r="F47" s="66" t="str">
        <f>IF(v_Ed_0&lt;F21, "OK", "ŻLE")</f>
        <v>OK</v>
      </c>
      <c r="G47" s="51"/>
    </row>
    <row r="48" spans="3:8" ht="19.5" thickBot="1">
      <c r="C48" s="27" t="s">
        <v>141</v>
      </c>
      <c r="E48" s="25"/>
      <c r="F48" s="30"/>
    </row>
    <row r="49" spans="3:7" ht="20.25">
      <c r="C49" s="1" t="s">
        <v>229</v>
      </c>
      <c r="E49" s="24" t="s">
        <v>142</v>
      </c>
      <c r="F49" s="67">
        <v>867.22455589942649</v>
      </c>
      <c r="G49" s="1" t="s">
        <v>0</v>
      </c>
    </row>
    <row r="50" spans="3:7" ht="21.75">
      <c r="C50" s="1" t="s">
        <v>169</v>
      </c>
      <c r="E50" s="6" t="s">
        <v>96</v>
      </c>
      <c r="F50" s="11">
        <f>(2*(c_y+c_z)*x_max+PI()*x_max^2)/100</f>
        <v>37502.833611655602</v>
      </c>
      <c r="G50" s="1" t="s">
        <v>49</v>
      </c>
    </row>
    <row r="51" spans="3:7" ht="21.75">
      <c r="C51" s="1" t="s">
        <v>168</v>
      </c>
      <c r="E51" s="6" t="s">
        <v>97</v>
      </c>
      <c r="F51" s="11">
        <f>F50+c_y*c_z/100</f>
        <v>39102.833611655602</v>
      </c>
      <c r="G51" s="1" t="s">
        <v>49</v>
      </c>
    </row>
    <row r="52" spans="3:7" ht="20.25">
      <c r="C52" s="1" t="s">
        <v>136</v>
      </c>
      <c r="E52" s="6" t="s">
        <v>129</v>
      </c>
      <c r="F52" s="9">
        <f>Q_d*F50/100/100</f>
        <v>56.197996167065909</v>
      </c>
      <c r="G52" s="1" t="s">
        <v>7</v>
      </c>
    </row>
    <row r="53" spans="3:7" ht="20.25">
      <c r="C53" s="1" t="s">
        <v>137</v>
      </c>
      <c r="E53" s="6" t="s">
        <v>172</v>
      </c>
      <c r="F53" s="9">
        <f>F34-F52</f>
        <v>1148.6020038329341</v>
      </c>
      <c r="G53" s="1" t="s">
        <v>7</v>
      </c>
    </row>
    <row r="54" spans="3:7" ht="20.25">
      <c r="C54" s="1" t="s">
        <v>135</v>
      </c>
      <c r="E54" s="6" t="s">
        <v>99</v>
      </c>
      <c r="F54" s="11">
        <f>2*(c_y+c_z+PI()*x_max)</f>
        <v>7048.9325876526182</v>
      </c>
      <c r="G54" s="1" t="s">
        <v>0</v>
      </c>
    </row>
    <row r="55" spans="3:7">
      <c r="C55" s="23" t="s">
        <v>166</v>
      </c>
      <c r="E55" s="6" t="s">
        <v>134</v>
      </c>
      <c r="F55" s="20">
        <f>F53/(d*F54)*1000</f>
        <v>0.65178776477159228</v>
      </c>
      <c r="G55" s="1" t="s">
        <v>26</v>
      </c>
    </row>
    <row r="56" spans="3:7" ht="19.5" thickBot="1">
      <c r="C56" s="1" t="s">
        <v>176</v>
      </c>
      <c r="D56" s="3"/>
      <c r="E56" s="22" t="s">
        <v>81</v>
      </c>
      <c r="F56" s="26">
        <f>F55/F27</f>
        <v>1.0000000850929447</v>
      </c>
      <c r="G56" s="1" t="s">
        <v>91</v>
      </c>
    </row>
    <row r="57" spans="3:7" ht="19.5" thickBot="1">
      <c r="E57" s="43" t="s">
        <v>177</v>
      </c>
      <c r="F57" s="60" t="str">
        <f>IF(x_max&gt;2*d, "2d", "xmax")</f>
        <v>2d</v>
      </c>
      <c r="G57" s="52"/>
    </row>
    <row r="58" spans="3:7" ht="19.5" thickBot="1">
      <c r="C58" s="27" t="s">
        <v>98</v>
      </c>
    </row>
    <row r="59" spans="3:7" ht="20.25">
      <c r="E59" s="4" t="s">
        <v>178</v>
      </c>
      <c r="F59" s="16">
        <f>2*d</f>
        <v>500</v>
      </c>
      <c r="G59" s="1" t="s">
        <v>0</v>
      </c>
    </row>
    <row r="60" spans="3:7" ht="20.25">
      <c r="C60" s="1" t="s">
        <v>70</v>
      </c>
      <c r="E60" s="8" t="s">
        <v>179</v>
      </c>
      <c r="F60" s="11">
        <f>2*(c_y+c_z+PI()*(x_1+0))</f>
        <v>4741.5926535897925</v>
      </c>
      <c r="G60" s="1" t="s">
        <v>0</v>
      </c>
    </row>
    <row r="61" spans="3:7" ht="21.75">
      <c r="C61" s="1" t="s">
        <v>236</v>
      </c>
      <c r="E61" s="8" t="s">
        <v>180</v>
      </c>
      <c r="F61" s="11">
        <f>(2*x_1*(c_y+c_z) +PI()*x_1^2 ) /100</f>
        <v>15853.981633974481</v>
      </c>
      <c r="G61" s="1" t="s">
        <v>49</v>
      </c>
    </row>
    <row r="62" spans="3:7" ht="20.25">
      <c r="C62" s="1" t="s">
        <v>79</v>
      </c>
      <c r="E62" s="8" t="s">
        <v>181</v>
      </c>
      <c r="F62" s="9">
        <f>F61*Q_d/100/100</f>
        <v>23.757191478510759</v>
      </c>
      <c r="G62" s="1" t="s">
        <v>7</v>
      </c>
    </row>
    <row r="63" spans="3:7" ht="20.25">
      <c r="C63" s="1" t="s">
        <v>37</v>
      </c>
      <c r="E63" s="6" t="s">
        <v>67</v>
      </c>
      <c r="F63" s="9">
        <f>F34-F62</f>
        <v>1181.0428085214892</v>
      </c>
      <c r="G63" s="1" t="s">
        <v>7</v>
      </c>
    </row>
    <row r="64" spans="3:7" ht="21" thickBot="1">
      <c r="C64" s="1" t="s">
        <v>130</v>
      </c>
      <c r="E64" s="32" t="s">
        <v>122</v>
      </c>
      <c r="F64" s="61">
        <f>beta*V_Ed_red/u_1/(d+h_H)*1000</f>
        <v>1.1457747040091595</v>
      </c>
      <c r="G64" s="1" t="s">
        <v>26</v>
      </c>
    </row>
    <row r="65" spans="3:7" ht="19.5" thickBot="1">
      <c r="E65" s="39" t="s">
        <v>182</v>
      </c>
      <c r="F65" s="60" t="str">
        <f>IF(v_Ed_1&gt;F27, "TAK", "NIE")</f>
        <v>TAK</v>
      </c>
    </row>
    <row r="66" spans="3:7">
      <c r="C66" s="27" t="s">
        <v>103</v>
      </c>
    </row>
    <row r="67" spans="3:7" ht="19.5" thickBot="1">
      <c r="C67" s="1" t="s">
        <v>111</v>
      </c>
    </row>
    <row r="68" spans="3:7" ht="20.25">
      <c r="E68" s="4" t="s">
        <v>102</v>
      </c>
      <c r="F68" s="16">
        <f>beta*V_Ed_red/(F27*d)*1000</f>
        <v>8335.2245548754145</v>
      </c>
      <c r="G68" s="1" t="s">
        <v>0</v>
      </c>
    </row>
    <row r="69" spans="3:7" ht="21" thickBot="1">
      <c r="C69" s="91" t="s">
        <v>112</v>
      </c>
      <c r="D69" s="92"/>
      <c r="E69" s="32" t="s">
        <v>104</v>
      </c>
      <c r="F69" s="33">
        <f>F68/2/PI()</f>
        <v>1326.5921896893653</v>
      </c>
      <c r="G69" s="1" t="s">
        <v>0</v>
      </c>
    </row>
    <row r="70" spans="3:7" ht="20.25">
      <c r="E70" s="4" t="s">
        <v>105</v>
      </c>
      <c r="F70" s="35">
        <f>F69-1.5*d</f>
        <v>951.59218968936534</v>
      </c>
      <c r="G70" s="1" t="s">
        <v>0</v>
      </c>
    </row>
    <row r="71" spans="3:7" ht="20.25">
      <c r="E71" s="6" t="s">
        <v>107</v>
      </c>
      <c r="F71" s="11">
        <f>2*PI()*F70</f>
        <v>5979.0300646830701</v>
      </c>
      <c r="G71" s="1" t="s">
        <v>0</v>
      </c>
    </row>
    <row r="72" spans="3:7" ht="20.25">
      <c r="E72" s="6" t="s">
        <v>212</v>
      </c>
      <c r="F72" s="11">
        <f>2*d</f>
        <v>500</v>
      </c>
      <c r="G72" s="1" t="s">
        <v>0</v>
      </c>
    </row>
    <row r="73" spans="3:7" ht="20.25">
      <c r="E73" s="6" t="s">
        <v>213</v>
      </c>
      <c r="F73" s="11">
        <f>F71/F72 +1</f>
        <v>12.958060129366141</v>
      </c>
    </row>
    <row r="74" spans="3:7" ht="21" thickBot="1">
      <c r="C74" s="1" t="s">
        <v>190</v>
      </c>
      <c r="E74" s="22" t="s">
        <v>114</v>
      </c>
      <c r="F74" s="31">
        <f>F71/F73</f>
        <v>461.41397747747152</v>
      </c>
      <c r="G74" s="1" t="s">
        <v>0</v>
      </c>
    </row>
    <row r="75" spans="3:7" ht="20.25">
      <c r="E75" s="4" t="s">
        <v>116</v>
      </c>
      <c r="F75" s="35">
        <f>(c_y/2+0.5*d)</f>
        <v>325</v>
      </c>
      <c r="G75" s="1" t="s">
        <v>0</v>
      </c>
    </row>
    <row r="76" spans="3:7" ht="20.25">
      <c r="E76" s="6" t="s">
        <v>117</v>
      </c>
      <c r="F76" s="11">
        <f>2*PI()*F75</f>
        <v>2042.0352248333654</v>
      </c>
    </row>
    <row r="77" spans="3:7" ht="20.25">
      <c r="E77" s="6" t="s">
        <v>118</v>
      </c>
      <c r="F77" s="11">
        <f>F76/1.5/d+1</f>
        <v>6.4454272662223078</v>
      </c>
    </row>
    <row r="78" spans="3:7" ht="21" thickBot="1">
      <c r="C78" s="1" t="s">
        <v>191</v>
      </c>
      <c r="D78"/>
      <c r="E78" s="22" t="s">
        <v>119</v>
      </c>
      <c r="F78" s="31">
        <f>F76/F77</f>
        <v>316.81921779410766</v>
      </c>
    </row>
    <row r="79" spans="3:7" ht="19.5" thickBot="1">
      <c r="E79"/>
      <c r="F79"/>
      <c r="G79"/>
    </row>
    <row r="80" spans="3:7" ht="20.25">
      <c r="C80" s="1" t="s">
        <v>194</v>
      </c>
      <c r="D80" s="2"/>
      <c r="E80" s="4" t="s">
        <v>113</v>
      </c>
      <c r="F80" s="16">
        <f>0.75*d</f>
        <v>187.5</v>
      </c>
    </row>
    <row r="81" spans="3:7" ht="20.25">
      <c r="C81" s="1" t="s">
        <v>192</v>
      </c>
      <c r="D81" s="2"/>
      <c r="E81" s="6" t="s">
        <v>106</v>
      </c>
      <c r="F81" s="11">
        <v>175</v>
      </c>
    </row>
    <row r="82" spans="3:7" ht="20.25">
      <c r="C82" s="1" t="s">
        <v>196</v>
      </c>
      <c r="E82" s="6" t="s">
        <v>193</v>
      </c>
      <c r="F82" s="34">
        <f>ROUNDUP((r_s-r_0)/s_r,0)</f>
        <v>4</v>
      </c>
    </row>
    <row r="83" spans="3:7" ht="21" thickBot="1">
      <c r="D83" s="2" t="s">
        <v>189</v>
      </c>
      <c r="E83" s="22" t="s">
        <v>184</v>
      </c>
      <c r="F83" s="31">
        <f>1.5*d</f>
        <v>375</v>
      </c>
      <c r="G83" s="1" t="s">
        <v>0</v>
      </c>
    </row>
    <row r="84" spans="3:7">
      <c r="E84" s="4" t="s">
        <v>186</v>
      </c>
      <c r="F84" s="68" t="s">
        <v>187</v>
      </c>
    </row>
    <row r="85" spans="3:7" ht="20.25">
      <c r="C85" s="1" t="s">
        <v>120</v>
      </c>
      <c r="D85" s="1">
        <v>1</v>
      </c>
      <c r="E85" s="6" t="s">
        <v>185</v>
      </c>
      <c r="F85" s="69" t="s">
        <v>188</v>
      </c>
      <c r="G85" s="1" t="s">
        <v>199</v>
      </c>
    </row>
    <row r="86" spans="3:7">
      <c r="D86" s="1">
        <v>2</v>
      </c>
      <c r="E86" s="6">
        <f>r_0+s_r</f>
        <v>500</v>
      </c>
      <c r="F86" s="11">
        <f>2*PI()*E86</f>
        <v>3141.5926535897929</v>
      </c>
    </row>
    <row r="87" spans="3:7">
      <c r="C87" s="1" t="s">
        <v>115</v>
      </c>
      <c r="D87" s="1">
        <v>3</v>
      </c>
      <c r="E87" s="70">
        <f>E86+s_r</f>
        <v>675</v>
      </c>
      <c r="F87" s="11">
        <f>2*PI()*E87</f>
        <v>4241.1500823462211</v>
      </c>
    </row>
    <row r="88" spans="3:7">
      <c r="D88" s="1">
        <v>4</v>
      </c>
      <c r="E88" s="70">
        <f>E87+s_r</f>
        <v>850</v>
      </c>
      <c r="F88" s="11">
        <f>2*PI()*E88</f>
        <v>5340.7075111026479</v>
      </c>
    </row>
    <row r="89" spans="3:7" ht="19.5" thickBot="1">
      <c r="E89" s="71">
        <f>E88+s_r</f>
        <v>1025</v>
      </c>
      <c r="F89" s="31">
        <f>2*PI()*E89</f>
        <v>6440.2649398590756</v>
      </c>
    </row>
    <row r="90" spans="3:7" ht="20.25">
      <c r="D90" s="1">
        <v>1</v>
      </c>
      <c r="E90" s="72" t="s">
        <v>197</v>
      </c>
      <c r="F90" s="68" t="s">
        <v>195</v>
      </c>
      <c r="G90" s="1" t="s">
        <v>198</v>
      </c>
    </row>
    <row r="91" spans="3:7">
      <c r="D91" s="1">
        <v>2</v>
      </c>
      <c r="E91" s="6">
        <f>ROUNDUP(F86/s_t,0)</f>
        <v>9</v>
      </c>
      <c r="F91" s="11">
        <f>F86/E91</f>
        <v>349.0658503988659</v>
      </c>
    </row>
    <row r="92" spans="3:7">
      <c r="D92" s="1">
        <v>3</v>
      </c>
      <c r="E92" s="6">
        <f>ROUNDUP(F87/s_t,0)</f>
        <v>12</v>
      </c>
      <c r="F92" s="11">
        <f>F87/E92</f>
        <v>353.42917352885178</v>
      </c>
    </row>
    <row r="93" spans="3:7">
      <c r="D93" s="1">
        <v>4</v>
      </c>
      <c r="E93" s="6">
        <f>ROUNDUP(F88/s_t,0)</f>
        <v>15</v>
      </c>
      <c r="F93" s="11">
        <f>F88/E93</f>
        <v>356.04716740684319</v>
      </c>
    </row>
    <row r="94" spans="3:7" ht="19.5" thickBot="1">
      <c r="E94" s="22">
        <f>ROUNDUP(F89/s_t,0)</f>
        <v>18</v>
      </c>
      <c r="F94" s="31">
        <f>F89/E94</f>
        <v>357.79249665883754</v>
      </c>
    </row>
    <row r="95" spans="3:7" ht="19.5" thickBot="1">
      <c r="C95" s="1" t="s">
        <v>200</v>
      </c>
    </row>
    <row r="96" spans="3:7" ht="20.25">
      <c r="C96" s="1" t="s">
        <v>27</v>
      </c>
      <c r="E96" s="15" t="s">
        <v>144</v>
      </c>
      <c r="F96" s="102">
        <v>500</v>
      </c>
      <c r="G96" s="1" t="s">
        <v>26</v>
      </c>
    </row>
    <row r="97" spans="3:7" ht="20.25">
      <c r="C97" s="1" t="s">
        <v>59</v>
      </c>
      <c r="E97" s="8" t="s">
        <v>69</v>
      </c>
      <c r="F97" s="10">
        <v>1.1499999999999999</v>
      </c>
    </row>
    <row r="98" spans="3:7" ht="21" thickBot="1">
      <c r="C98" s="1" t="s">
        <v>61</v>
      </c>
      <c r="E98" s="13" t="s">
        <v>42</v>
      </c>
      <c r="F98" s="31">
        <f>f_yk/g_s</f>
        <v>434.78260869565219</v>
      </c>
      <c r="G98" s="1" t="s">
        <v>26</v>
      </c>
    </row>
    <row r="99" spans="3:7" ht="21">
      <c r="C99" s="1" t="s">
        <v>201</v>
      </c>
      <c r="E99" s="15" t="s">
        <v>123</v>
      </c>
      <c r="F99" s="16">
        <v>90</v>
      </c>
      <c r="G99" s="40" t="s">
        <v>124</v>
      </c>
    </row>
    <row r="100" spans="3:7">
      <c r="E100" s="8" t="s">
        <v>125</v>
      </c>
      <c r="F100" s="11">
        <f>SIN(F99)</f>
        <v>0.89399666360055785</v>
      </c>
    </row>
    <row r="101" spans="3:7">
      <c r="E101" s="8" t="s">
        <v>128</v>
      </c>
      <c r="F101" s="11">
        <f>COS(F99)</f>
        <v>-0.44807361612917013</v>
      </c>
    </row>
    <row r="102" spans="3:7" ht="20.25">
      <c r="C102" s="1" t="s">
        <v>204</v>
      </c>
      <c r="E102" s="8" t="s">
        <v>126</v>
      </c>
      <c r="F102" s="9">
        <f>MIN(250+0.25*d,fyd)</f>
        <v>312.5</v>
      </c>
    </row>
    <row r="103" spans="3:7" ht="21.75">
      <c r="C103" s="1" t="s">
        <v>205</v>
      </c>
      <c r="E103" s="6" t="s">
        <v>121</v>
      </c>
      <c r="F103" s="29">
        <f>(v_Ed_1-0.75*v_Rdc)/(1.5*F102*F100)*s_r*u_1/100</f>
        <v>13.007888312683642</v>
      </c>
      <c r="G103" s="1" t="s">
        <v>49</v>
      </c>
    </row>
    <row r="104" spans="3:7">
      <c r="C104" s="1" t="s">
        <v>206</v>
      </c>
      <c r="E104" s="41" t="s">
        <v>108</v>
      </c>
      <c r="F104" s="42">
        <v>10</v>
      </c>
      <c r="G104" s="1" t="s">
        <v>0</v>
      </c>
    </row>
    <row r="105" spans="3:7" ht="20.25">
      <c r="C105" s="1" t="s">
        <v>207</v>
      </c>
      <c r="E105" s="6" t="s">
        <v>109</v>
      </c>
      <c r="F105" s="19">
        <f>PI()*F104^2/100/4</f>
        <v>0.78539816339744828</v>
      </c>
    </row>
    <row r="106" spans="3:7" ht="20.25">
      <c r="C106" s="1" t="s">
        <v>208</v>
      </c>
      <c r="E106" s="6" t="s">
        <v>127</v>
      </c>
      <c r="F106" s="19">
        <f>ROUNDUP(F103/F105,0)+1</f>
        <v>18</v>
      </c>
    </row>
    <row r="107" spans="3:7" ht="20.25">
      <c r="C107" s="1" t="s">
        <v>209</v>
      </c>
      <c r="E107" s="36" t="s">
        <v>203</v>
      </c>
      <c r="F107" s="12">
        <f>(1.5*F105)/(s_t/10*s_r/10)</f>
        <v>1.7951958020513104E-3</v>
      </c>
    </row>
    <row r="108" spans="3:7" ht="21" thickBot="1">
      <c r="C108" s="1" t="s">
        <v>210</v>
      </c>
      <c r="E108" s="37" t="s">
        <v>110</v>
      </c>
      <c r="F108" s="14">
        <f>0.08*(f_ck)^0.5/f_yk</f>
        <v>8.7635609200826582E-4</v>
      </c>
    </row>
    <row r="109" spans="3:7" ht="19.5" thickBot="1">
      <c r="E109" s="39" t="s">
        <v>211</v>
      </c>
      <c r="F109" s="60" t="str">
        <f>IF(F107&gt;F108, "OK", "zwiększ średnicę")</f>
        <v>OK</v>
      </c>
    </row>
  </sheetData>
  <mergeCells count="13">
    <mergeCell ref="C69:D69"/>
    <mergeCell ref="C2:G2"/>
    <mergeCell ref="C4:D4"/>
    <mergeCell ref="C5:D5"/>
    <mergeCell ref="C6:D6"/>
    <mergeCell ref="C7:D7"/>
    <mergeCell ref="C14:D14"/>
    <mergeCell ref="C15:D15"/>
    <mergeCell ref="C9:D9"/>
    <mergeCell ref="C10:D10"/>
    <mergeCell ref="C11:D11"/>
    <mergeCell ref="C12:D12"/>
    <mergeCell ref="C13:D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59"/>
  <sheetViews>
    <sheetView topLeftCell="A40" workbookViewId="0">
      <selection activeCell="I41" sqref="I41"/>
    </sheetView>
  </sheetViews>
  <sheetFormatPr defaultRowHeight="18.75"/>
  <cols>
    <col min="3" max="3" width="29.85546875" style="1" customWidth="1"/>
    <col min="4" max="4" width="9.7109375" style="1" customWidth="1"/>
    <col min="5" max="5" width="17.5703125" style="2" customWidth="1"/>
    <col min="6" max="6" width="19.42578125" style="3" customWidth="1"/>
    <col min="7" max="7" width="9.140625" style="1"/>
    <col min="8" max="8" width="16.140625" customWidth="1"/>
    <col min="9" max="9" width="16.7109375" customWidth="1"/>
  </cols>
  <sheetData>
    <row r="1" spans="3:7" ht="19.5" thickBot="1"/>
    <row r="2" spans="3:7" ht="19.5" thickBot="1">
      <c r="C2" s="93" t="s">
        <v>237</v>
      </c>
      <c r="D2" s="94"/>
      <c r="E2" s="94"/>
      <c r="F2" s="94"/>
      <c r="G2" s="95"/>
    </row>
    <row r="3" spans="3:7" ht="19.5" thickBot="1">
      <c r="C3" s="28" t="s">
        <v>230</v>
      </c>
      <c r="D3" s="28"/>
      <c r="E3" s="28"/>
      <c r="F3" s="28"/>
      <c r="G3" s="25"/>
    </row>
    <row r="4" spans="3:7" ht="20.25">
      <c r="C4" s="92" t="s">
        <v>83</v>
      </c>
      <c r="D4" s="92"/>
      <c r="E4" s="4" t="s">
        <v>38</v>
      </c>
      <c r="F4" s="5">
        <v>260</v>
      </c>
      <c r="G4" s="1" t="s">
        <v>0</v>
      </c>
    </row>
    <row r="5" spans="3:7" ht="20.25">
      <c r="C5" s="92" t="s">
        <v>84</v>
      </c>
      <c r="D5" s="92"/>
      <c r="E5" s="6" t="s">
        <v>39</v>
      </c>
      <c r="F5" s="7">
        <v>260</v>
      </c>
      <c r="G5" s="1" t="s">
        <v>0</v>
      </c>
    </row>
    <row r="6" spans="3:7" ht="20.25">
      <c r="C6" s="92" t="s">
        <v>24</v>
      </c>
      <c r="D6" s="92"/>
      <c r="E6" s="6" t="s">
        <v>143</v>
      </c>
      <c r="F6" s="7">
        <v>30</v>
      </c>
      <c r="G6" s="1" t="s">
        <v>26</v>
      </c>
    </row>
    <row r="7" spans="3:7" ht="20.25">
      <c r="C7" s="92" t="s">
        <v>58</v>
      </c>
      <c r="D7" s="92"/>
      <c r="E7" s="8" t="s">
        <v>40</v>
      </c>
      <c r="F7" s="7">
        <v>1.4</v>
      </c>
    </row>
    <row r="8" spans="3:7" ht="20.25">
      <c r="C8" s="1" t="s">
        <v>60</v>
      </c>
      <c r="E8" s="8" t="s">
        <v>41</v>
      </c>
      <c r="F8" s="9">
        <f>f_ck/g_c</f>
        <v>21.428571428571431</v>
      </c>
      <c r="G8" s="1" t="s">
        <v>26</v>
      </c>
    </row>
    <row r="9" spans="3:7">
      <c r="C9" s="92" t="s">
        <v>36</v>
      </c>
      <c r="D9" s="92"/>
      <c r="E9" s="8" t="s">
        <v>9</v>
      </c>
      <c r="F9" s="7">
        <v>250</v>
      </c>
      <c r="G9" s="1" t="s">
        <v>0</v>
      </c>
    </row>
    <row r="10" spans="3:7" ht="20.25">
      <c r="C10" s="92" t="s">
        <v>85</v>
      </c>
      <c r="D10" s="92"/>
      <c r="E10" s="8" t="s">
        <v>63</v>
      </c>
      <c r="F10" s="7">
        <v>50</v>
      </c>
      <c r="G10" s="1" t="s">
        <v>0</v>
      </c>
    </row>
    <row r="11" spans="3:7" ht="20.25">
      <c r="C11" s="92" t="s">
        <v>86</v>
      </c>
      <c r="D11" s="92"/>
      <c r="E11" s="8" t="s">
        <v>64</v>
      </c>
      <c r="F11" s="10">
        <f>h-a_y</f>
        <v>200</v>
      </c>
      <c r="G11" s="1" t="s">
        <v>0</v>
      </c>
    </row>
    <row r="12" spans="3:7" ht="20.25">
      <c r="C12" s="92" t="s">
        <v>87</v>
      </c>
      <c r="D12" s="92"/>
      <c r="E12" s="8" t="s">
        <v>65</v>
      </c>
      <c r="F12" s="10">
        <v>50</v>
      </c>
    </row>
    <row r="13" spans="3:7" ht="20.25">
      <c r="C13" s="92" t="s">
        <v>88</v>
      </c>
      <c r="D13" s="92"/>
      <c r="E13" s="8" t="s">
        <v>66</v>
      </c>
      <c r="F13" s="10">
        <f>h-a_z</f>
        <v>200</v>
      </c>
    </row>
    <row r="14" spans="3:7">
      <c r="C14" s="92" t="s">
        <v>145</v>
      </c>
      <c r="D14" s="92"/>
      <c r="E14" s="53" t="s">
        <v>13</v>
      </c>
      <c r="F14" s="54">
        <f>(d_y+d_z)/2</f>
        <v>200</v>
      </c>
    </row>
    <row r="15" spans="3:7" ht="20.25">
      <c r="C15" s="1" t="s">
        <v>159</v>
      </c>
      <c r="E15" s="8" t="s">
        <v>50</v>
      </c>
      <c r="F15" s="12">
        <v>1.0500000000000001E-2</v>
      </c>
    </row>
    <row r="16" spans="3:7" ht="21" thickBot="1">
      <c r="C16" s="1" t="s">
        <v>160</v>
      </c>
      <c r="E16" s="13" t="s">
        <v>51</v>
      </c>
      <c r="F16" s="14">
        <v>9.7000000000000003E-3</v>
      </c>
      <c r="G16" s="1" t="s">
        <v>26</v>
      </c>
    </row>
    <row r="17" spans="3:10" ht="21" thickBot="1">
      <c r="C17" s="1" t="s">
        <v>161</v>
      </c>
      <c r="E17" s="58" t="s">
        <v>52</v>
      </c>
      <c r="F17" s="59">
        <f>(r_ly*r_lz)^0.5</f>
        <v>1.0092076099594177E-2</v>
      </c>
    </row>
    <row r="18" spans="3:10" ht="19.5" thickBot="1">
      <c r="C18" s="1" t="s">
        <v>239</v>
      </c>
      <c r="E18" s="82" t="s">
        <v>238</v>
      </c>
      <c r="F18" s="66" t="str">
        <f>IF(r_l&lt; 0.02, "OK", "zmniejsz zbrojenie")</f>
        <v>OK</v>
      </c>
    </row>
    <row r="19" spans="3:10">
      <c r="C19" s="1" t="s">
        <v>29</v>
      </c>
      <c r="E19" s="15" t="s">
        <v>23</v>
      </c>
      <c r="F19" s="55">
        <f>0.6*(1-f_ck/250)</f>
        <v>0.52800000000000002</v>
      </c>
    </row>
    <row r="20" spans="3:10" ht="21" thickBot="1">
      <c r="C20" s="1" t="s">
        <v>173</v>
      </c>
      <c r="E20" s="13" t="s">
        <v>55</v>
      </c>
      <c r="F20" s="49">
        <f>0.4*ni*f_cd</f>
        <v>4.5257142857142867</v>
      </c>
    </row>
    <row r="21" spans="3:10" ht="20.25">
      <c r="C21" s="1" t="s">
        <v>93</v>
      </c>
      <c r="E21" s="15" t="s">
        <v>71</v>
      </c>
      <c r="F21" s="56">
        <v>0.18</v>
      </c>
      <c r="G21" s="1" t="s">
        <v>26</v>
      </c>
    </row>
    <row r="22" spans="3:10" ht="20.25">
      <c r="C22" s="1" t="s">
        <v>94</v>
      </c>
      <c r="E22" s="8" t="s">
        <v>72</v>
      </c>
      <c r="F22" s="20">
        <f>F21/g_c</f>
        <v>0.12857142857142859</v>
      </c>
      <c r="G22" s="1" t="s">
        <v>26</v>
      </c>
    </row>
    <row r="23" spans="3:10">
      <c r="C23" s="1" t="s">
        <v>73</v>
      </c>
      <c r="E23" s="8" t="s">
        <v>32</v>
      </c>
      <c r="F23" s="19">
        <f>MIN((1+(200/d)^0.5),2)</f>
        <v>2</v>
      </c>
    </row>
    <row r="24" spans="3:10" ht="20.25">
      <c r="C24" s="1" t="s">
        <v>92</v>
      </c>
      <c r="E24" s="21" t="s">
        <v>175</v>
      </c>
      <c r="F24" s="20">
        <f>0.035*F23^(3/2)*f_ck^0.5</f>
        <v>0.54221766846903829</v>
      </c>
    </row>
    <row r="25" spans="3:10" ht="20.25">
      <c r="C25" s="1" t="s">
        <v>174</v>
      </c>
      <c r="E25" s="8" t="s">
        <v>202</v>
      </c>
      <c r="F25" s="9">
        <v>0</v>
      </c>
      <c r="G25" s="73" t="s">
        <v>25</v>
      </c>
    </row>
    <row r="26" spans="3:10" ht="21" thickBot="1">
      <c r="C26" s="44"/>
      <c r="D26" s="44"/>
      <c r="E26" s="13" t="s">
        <v>56</v>
      </c>
      <c r="F26" s="57">
        <f>MAX(F22*F23*(100*r_l*f_ck)^(1/3)+F25,F24+F25)</f>
        <v>0.80144745761112923</v>
      </c>
      <c r="G26" s="1" t="s">
        <v>26</v>
      </c>
    </row>
    <row r="27" spans="3:10" ht="19.5" thickBot="1">
      <c r="C27" s="27" t="s">
        <v>149</v>
      </c>
      <c r="D27"/>
      <c r="E27" s="94" t="s">
        <v>240</v>
      </c>
      <c r="F27" s="94"/>
      <c r="G27"/>
      <c r="H27" s="96" t="s">
        <v>241</v>
      </c>
      <c r="I27" s="96"/>
    </row>
    <row r="28" spans="3:10" ht="21.75" thickBot="1">
      <c r="C28" s="1" t="s">
        <v>242</v>
      </c>
      <c r="E28" s="8" t="s">
        <v>4</v>
      </c>
      <c r="F28" s="7">
        <v>1.5</v>
      </c>
      <c r="H28" s="15" t="s">
        <v>4</v>
      </c>
      <c r="I28" s="5">
        <v>1.4</v>
      </c>
      <c r="J28" s="1" t="s">
        <v>47</v>
      </c>
    </row>
    <row r="29" spans="3:10" ht="21.75">
      <c r="C29" s="1" t="s">
        <v>150</v>
      </c>
      <c r="E29" s="4" t="s">
        <v>45</v>
      </c>
      <c r="F29" s="5">
        <v>93</v>
      </c>
      <c r="H29" s="4" t="s">
        <v>45</v>
      </c>
      <c r="I29" s="5">
        <v>265</v>
      </c>
      <c r="J29" s="1" t="s">
        <v>47</v>
      </c>
    </row>
    <row r="30" spans="3:10" ht="21.75">
      <c r="C30" s="1" t="s">
        <v>152</v>
      </c>
      <c r="E30" s="6" t="s">
        <v>162</v>
      </c>
      <c r="F30" s="7">
        <v>8.3000000000000007</v>
      </c>
      <c r="H30" s="6" t="s">
        <v>162</v>
      </c>
      <c r="I30" s="7">
        <v>8.3000000000000007</v>
      </c>
      <c r="J30" s="1" t="s">
        <v>47</v>
      </c>
    </row>
    <row r="31" spans="3:10" ht="20.25">
      <c r="C31" s="1" t="s">
        <v>76</v>
      </c>
      <c r="E31" s="8" t="s">
        <v>74</v>
      </c>
      <c r="F31" s="7">
        <v>1.35</v>
      </c>
      <c r="H31" s="8" t="s">
        <v>74</v>
      </c>
      <c r="I31" s="7">
        <v>1.35</v>
      </c>
      <c r="J31" s="1"/>
    </row>
    <row r="32" spans="3:10" ht="21.75">
      <c r="C32" s="1" t="s">
        <v>153</v>
      </c>
      <c r="E32" s="6" t="s">
        <v>131</v>
      </c>
      <c r="F32" s="7">
        <v>3</v>
      </c>
      <c r="H32" s="6" t="s">
        <v>131</v>
      </c>
      <c r="I32" s="7">
        <v>3</v>
      </c>
      <c r="J32" s="1" t="s">
        <v>47</v>
      </c>
    </row>
    <row r="33" spans="3:10" ht="21.75">
      <c r="C33" s="1" t="s">
        <v>154</v>
      </c>
      <c r="E33" s="6" t="s">
        <v>164</v>
      </c>
      <c r="F33" s="7">
        <v>1</v>
      </c>
      <c r="H33" s="6" t="s">
        <v>164</v>
      </c>
      <c r="I33" s="7">
        <v>1</v>
      </c>
      <c r="J33" s="1" t="s">
        <v>47</v>
      </c>
    </row>
    <row r="34" spans="3:10" ht="20.25">
      <c r="C34" s="1" t="s">
        <v>155</v>
      </c>
      <c r="E34" s="6" t="s">
        <v>132</v>
      </c>
      <c r="F34" s="7">
        <v>0</v>
      </c>
      <c r="H34" s="6" t="s">
        <v>132</v>
      </c>
      <c r="I34" s="7">
        <v>0</v>
      </c>
      <c r="J34" s="1"/>
    </row>
    <row r="35" spans="3:10" ht="20.25">
      <c r="C35" s="1" t="s">
        <v>157</v>
      </c>
      <c r="E35" s="6" t="s">
        <v>133</v>
      </c>
      <c r="F35" s="7">
        <v>0</v>
      </c>
      <c r="H35" s="6" t="s">
        <v>133</v>
      </c>
      <c r="I35" s="7">
        <v>0</v>
      </c>
      <c r="J35" s="1"/>
    </row>
    <row r="36" spans="3:10" ht="21.75">
      <c r="C36" s="1" t="s">
        <v>156</v>
      </c>
      <c r="E36" s="6" t="s">
        <v>165</v>
      </c>
      <c r="F36" s="7">
        <v>0.7</v>
      </c>
      <c r="H36" s="6" t="s">
        <v>165</v>
      </c>
      <c r="I36" s="7">
        <v>0.7</v>
      </c>
      <c r="J36" s="1" t="s">
        <v>47</v>
      </c>
    </row>
    <row r="37" spans="3:10" ht="20.25">
      <c r="C37" s="1" t="s">
        <v>77</v>
      </c>
      <c r="E37" s="8" t="s">
        <v>78</v>
      </c>
      <c r="F37" s="7">
        <v>1.5</v>
      </c>
      <c r="H37" s="8" t="s">
        <v>78</v>
      </c>
      <c r="I37" s="7">
        <v>1.5</v>
      </c>
      <c r="J37" s="1"/>
    </row>
    <row r="38" spans="3:10" ht="21" thickBot="1">
      <c r="C38" s="1" t="s">
        <v>158</v>
      </c>
      <c r="E38" s="6" t="s">
        <v>75</v>
      </c>
      <c r="F38" s="9">
        <f>g_G*G_k+g_Q*(psi_u*Q_ku+psi_p*Q_kś+psi_p*Q_kp)</f>
        <v>15.705000000000002</v>
      </c>
      <c r="H38" s="22" t="s">
        <v>75</v>
      </c>
      <c r="I38" s="84">
        <f>g_G*G_k+g_Q*(psi_u*Q_ku+psi_p*Q_kś+psi_p*Q_kp)</f>
        <v>15.705000000000002</v>
      </c>
      <c r="J38" s="1"/>
    </row>
    <row r="39" spans="3:10" ht="19.5" thickBot="1">
      <c r="C39" s="27" t="s">
        <v>101</v>
      </c>
      <c r="E39" s="1"/>
      <c r="F39" s="1"/>
      <c r="J39" s="1"/>
    </row>
    <row r="40" spans="3:10" ht="21" thickBot="1">
      <c r="C40" s="1" t="s">
        <v>100</v>
      </c>
      <c r="E40" s="62" t="s">
        <v>53</v>
      </c>
      <c r="F40" s="63">
        <f>MIN(3*d, (c_y+c_z))</f>
        <v>520</v>
      </c>
      <c r="H40" s="62" t="s">
        <v>53</v>
      </c>
      <c r="I40" s="63">
        <f>MIN(c_z+3*d, c_z +2*c_y)</f>
        <v>780</v>
      </c>
      <c r="J40" s="1"/>
    </row>
    <row r="41" spans="3:10" ht="21" thickBot="1">
      <c r="E41" s="64" t="s">
        <v>167</v>
      </c>
      <c r="F41" s="104">
        <f>F28*F29/d/u_0*1000</f>
        <v>1.341346153846154</v>
      </c>
      <c r="H41" s="64" t="s">
        <v>167</v>
      </c>
      <c r="I41" s="104">
        <f>I28*I29/d/(I40)*1000</f>
        <v>2.3782051282051282</v>
      </c>
      <c r="J41" s="1" t="s">
        <v>26</v>
      </c>
    </row>
    <row r="42" spans="3:10" ht="21" thickBot="1">
      <c r="E42" s="45" t="s">
        <v>183</v>
      </c>
      <c r="F42" s="66" t="str">
        <f>IF(v_Ed_0&lt;F20, "OK", "ŻLE")</f>
        <v>OK</v>
      </c>
      <c r="H42" s="45" t="s">
        <v>183</v>
      </c>
      <c r="I42" s="66" t="str">
        <f>IF(I41&lt;F20, "OK", "ŻLE")</f>
        <v>OK</v>
      </c>
      <c r="J42" s="1" t="s">
        <v>26</v>
      </c>
    </row>
    <row r="43" spans="3:10" ht="19.5" thickBot="1">
      <c r="C43" s="27" t="s">
        <v>141</v>
      </c>
      <c r="E43" s="25"/>
      <c r="F43" s="30"/>
      <c r="G43" s="51"/>
    </row>
    <row r="44" spans="3:10" ht="20.25">
      <c r="C44" s="1" t="s">
        <v>229</v>
      </c>
      <c r="E44" s="24" t="s">
        <v>142</v>
      </c>
      <c r="F44" s="67">
        <v>208.97394361912228</v>
      </c>
      <c r="H44" s="24" t="s">
        <v>142</v>
      </c>
      <c r="I44" s="67">
        <v>385.79541722977865</v>
      </c>
      <c r="J44" s="1" t="s">
        <v>0</v>
      </c>
    </row>
    <row r="45" spans="3:10" ht="20.25">
      <c r="C45" s="1" t="s">
        <v>141</v>
      </c>
      <c r="E45" s="6" t="s">
        <v>99</v>
      </c>
      <c r="F45" s="11">
        <f>c_y+c_z+PI()*x_max/2</f>
        <v>848.25550303276111</v>
      </c>
      <c r="H45" s="6" t="s">
        <v>99</v>
      </c>
      <c r="I45" s="11">
        <f>2*(c_y+c_z)+PI()*I44</f>
        <v>2252.0120485576817</v>
      </c>
      <c r="J45" s="1" t="s">
        <v>0</v>
      </c>
    </row>
    <row r="46" spans="3:10" ht="21.75">
      <c r="C46" s="1" t="s">
        <v>169</v>
      </c>
      <c r="E46" s="6" t="s">
        <v>243</v>
      </c>
      <c r="F46" s="11">
        <f>(x_max*(c_z+c_y+x_max)-x_max^2/4*(1-PI()/4))/100</f>
        <v>1499.9363838866902</v>
      </c>
      <c r="H46" s="6" t="s">
        <v>243</v>
      </c>
      <c r="I46" s="11">
        <f>(I44*(c_z+2*c_y+I44)-x_max^2/4*(1-PI()/2))/100</f>
        <v>4559.9021386265304</v>
      </c>
      <c r="J46" s="1" t="s">
        <v>49</v>
      </c>
    </row>
    <row r="47" spans="3:10" ht="20.25">
      <c r="C47" s="1" t="s">
        <v>136</v>
      </c>
      <c r="E47" s="6" t="s">
        <v>129</v>
      </c>
      <c r="F47" s="9">
        <f>Q_d*F46/100/100</f>
        <v>2.3556500908940472</v>
      </c>
      <c r="H47" s="6" t="s">
        <v>129</v>
      </c>
      <c r="I47" s="9">
        <f>Q_d*I46/100/100</f>
        <v>7.161326308712967</v>
      </c>
      <c r="J47" s="1" t="s">
        <v>7</v>
      </c>
    </row>
    <row r="48" spans="3:10" ht="20.25">
      <c r="C48" s="1" t="s">
        <v>137</v>
      </c>
      <c r="E48" s="6" t="s">
        <v>172</v>
      </c>
      <c r="F48" s="9">
        <f>F29-F47</f>
        <v>90.644349909105955</v>
      </c>
      <c r="H48" s="6" t="s">
        <v>172</v>
      </c>
      <c r="I48" s="9">
        <f>I29-I47</f>
        <v>257.83867369128706</v>
      </c>
      <c r="J48" s="1" t="s">
        <v>7</v>
      </c>
    </row>
    <row r="49" spans="3:10" ht="20.25">
      <c r="C49" s="23" t="s">
        <v>166</v>
      </c>
      <c r="E49" s="6" t="s">
        <v>244</v>
      </c>
      <c r="F49" s="20">
        <f>beta_N*F48/(d*F45)*1000</f>
        <v>0.80144793860775987</v>
      </c>
      <c r="H49" s="6" t="s">
        <v>244</v>
      </c>
      <c r="I49" s="20">
        <f>I28*I48/(d*I45)*1000</f>
        <v>0.80144807262241446</v>
      </c>
      <c r="J49" s="1" t="s">
        <v>26</v>
      </c>
    </row>
    <row r="50" spans="3:10" ht="21" thickBot="1">
      <c r="C50" s="1" t="s">
        <v>176</v>
      </c>
      <c r="D50" s="3"/>
      <c r="E50" s="22" t="s">
        <v>245</v>
      </c>
      <c r="F50" s="26">
        <f>$F$49/$F$26</f>
        <v>1.0000006001599058</v>
      </c>
      <c r="H50" s="22" t="s">
        <v>245</v>
      </c>
      <c r="I50" s="26">
        <f>$I$49/$F$26</f>
        <v>1.0000007673756768</v>
      </c>
      <c r="J50" s="1" t="s">
        <v>91</v>
      </c>
    </row>
    <row r="51" spans="3:10" ht="19.5" thickBot="1">
      <c r="E51" s="46" t="s">
        <v>177</v>
      </c>
      <c r="F51" s="60" t="str">
        <f>IF(x_max&gt;2*d, "2d", "xmax")</f>
        <v>xmax</v>
      </c>
      <c r="H51" s="46" t="s">
        <v>177</v>
      </c>
      <c r="I51" s="60" t="str">
        <f>IF(I44&gt;2*d, "2d", "xmax")</f>
        <v>xmax</v>
      </c>
    </row>
    <row r="52" spans="3:10" ht="19.5" thickBot="1">
      <c r="C52" s="27" t="s">
        <v>98</v>
      </c>
      <c r="G52" s="52"/>
    </row>
    <row r="53" spans="3:10" ht="20.25">
      <c r="E53" s="4" t="s">
        <v>178</v>
      </c>
      <c r="F53" s="16">
        <f>2*d</f>
        <v>400</v>
      </c>
      <c r="H53" s="4" t="s">
        <v>178</v>
      </c>
      <c r="I53" s="16">
        <f>2*d</f>
        <v>400</v>
      </c>
      <c r="J53" s="1" t="s">
        <v>0</v>
      </c>
    </row>
    <row r="54" spans="3:10" ht="20.25">
      <c r="C54" s="1" t="s">
        <v>70</v>
      </c>
      <c r="E54" s="8" t="s">
        <v>179</v>
      </c>
      <c r="F54" s="11">
        <f>c_y+c_z+PI()*x_1/2</f>
        <v>1148.3185307179588</v>
      </c>
      <c r="H54" s="8" t="s">
        <v>179</v>
      </c>
      <c r="I54" s="11">
        <f>2*(c_y+c_z)+PI()*I53</f>
        <v>2296.6370614359175</v>
      </c>
      <c r="J54" s="1" t="s">
        <v>0</v>
      </c>
    </row>
    <row r="55" spans="3:10" ht="21.75">
      <c r="C55" s="1" t="s">
        <v>236</v>
      </c>
      <c r="E55" s="8" t="s">
        <v>180</v>
      </c>
      <c r="F55" s="11">
        <f>(2*x_1*(c_y+c_z) +PI()*x_1^2 +c_y*c_z) /100</f>
        <v>9862.5482457436683</v>
      </c>
      <c r="H55" s="8" t="s">
        <v>180</v>
      </c>
      <c r="I55" s="11">
        <f>(I53*(c_z+2*c_y+I53)-I53^2/4*(1-PI()/2))/100</f>
        <v>4948.3185307179592</v>
      </c>
      <c r="J55" s="1" t="s">
        <v>49</v>
      </c>
    </row>
    <row r="56" spans="3:10" ht="20.25">
      <c r="C56" s="1" t="s">
        <v>79</v>
      </c>
      <c r="E56" s="8" t="s">
        <v>181</v>
      </c>
      <c r="F56" s="9">
        <f>F55*Q_d/100/100</f>
        <v>15.489132019940433</v>
      </c>
      <c r="H56" s="8" t="s">
        <v>181</v>
      </c>
      <c r="I56" s="9">
        <f>Q_d*I55/100/100</f>
        <v>7.7713342524925553</v>
      </c>
      <c r="J56" s="1" t="s">
        <v>7</v>
      </c>
    </row>
    <row r="57" spans="3:10" ht="20.25">
      <c r="C57" s="1" t="s">
        <v>37</v>
      </c>
      <c r="E57" s="6" t="s">
        <v>67</v>
      </c>
      <c r="F57" s="9">
        <f>F29-F56</f>
        <v>77.510867980059572</v>
      </c>
      <c r="H57" s="6" t="s">
        <v>67</v>
      </c>
      <c r="I57" s="9">
        <f>I29-I56</f>
        <v>257.22866574750742</v>
      </c>
      <c r="J57" s="1" t="s">
        <v>7</v>
      </c>
    </row>
    <row r="58" spans="3:10" ht="21" thickBot="1">
      <c r="C58" s="1" t="s">
        <v>130</v>
      </c>
      <c r="E58" s="32" t="s">
        <v>122</v>
      </c>
      <c r="F58" s="61">
        <f>F28*F29/u_1/(d)*1000</f>
        <v>0.60740986176013789</v>
      </c>
      <c r="H58" s="32" t="s">
        <v>122</v>
      </c>
      <c r="I58" s="61">
        <f>I28*I57/I54/d*1000</f>
        <v>0.78401619936707345</v>
      </c>
      <c r="J58" s="1" t="s">
        <v>7</v>
      </c>
    </row>
    <row r="59" spans="3:10" ht="19.5" thickBot="1">
      <c r="E59" s="45" t="s">
        <v>182</v>
      </c>
      <c r="F59" s="60" t="str">
        <f>IF(v_Ed_1&gt;F26, "TAK", "NIE")</f>
        <v>NIE</v>
      </c>
      <c r="H59" s="45" t="s">
        <v>182</v>
      </c>
      <c r="I59" s="60" t="str">
        <f>IF(I58&gt;v_Rdc, "TAK", "NIE")</f>
        <v>NIE</v>
      </c>
      <c r="J59" s="1" t="s">
        <v>26</v>
      </c>
    </row>
  </sheetData>
  <mergeCells count="13">
    <mergeCell ref="C2:G2"/>
    <mergeCell ref="C4:D4"/>
    <mergeCell ref="C5:D5"/>
    <mergeCell ref="C6:D6"/>
    <mergeCell ref="C7:D7"/>
    <mergeCell ref="E27:F27"/>
    <mergeCell ref="H27:I2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4"/>
  <sheetViews>
    <sheetView topLeftCell="A16" workbookViewId="0">
      <selection activeCell="F30" sqref="F30"/>
    </sheetView>
  </sheetViews>
  <sheetFormatPr defaultRowHeight="18.75"/>
  <cols>
    <col min="1" max="3" width="9.140625" style="1"/>
    <col min="4" max="4" width="19" style="1" customWidth="1"/>
    <col min="5" max="5" width="15.28515625" style="1" customWidth="1"/>
    <col min="6" max="6" width="12.140625" style="1" customWidth="1"/>
    <col min="7" max="16384" width="9.140625" style="1"/>
  </cols>
  <sheetData>
    <row r="1" spans="3:7" ht="19.5" thickBot="1"/>
    <row r="2" spans="3:7" ht="19.5" thickBot="1">
      <c r="C2" s="93" t="s">
        <v>82</v>
      </c>
      <c r="D2" s="94"/>
      <c r="E2" s="94"/>
      <c r="F2" s="94"/>
      <c r="G2" s="95"/>
    </row>
    <row r="3" spans="3:7">
      <c r="C3" s="1" t="s">
        <v>1</v>
      </c>
      <c r="E3" s="106" t="s">
        <v>138</v>
      </c>
      <c r="F3" s="107">
        <v>350</v>
      </c>
      <c r="G3" s="1" t="s">
        <v>0</v>
      </c>
    </row>
    <row r="4" spans="3:7" ht="20.25">
      <c r="C4" s="1" t="s">
        <v>24</v>
      </c>
      <c r="E4" s="108" t="s">
        <v>247</v>
      </c>
      <c r="F4" s="109">
        <v>20</v>
      </c>
      <c r="G4" s="1" t="s">
        <v>26</v>
      </c>
    </row>
    <row r="5" spans="3:7" ht="20.25">
      <c r="C5" s="1" t="s">
        <v>28</v>
      </c>
      <c r="E5" s="110" t="s">
        <v>40</v>
      </c>
      <c r="F5" s="109">
        <v>1.4</v>
      </c>
    </row>
    <row r="6" spans="3:7" ht="20.25">
      <c r="C6" s="1" t="s">
        <v>246</v>
      </c>
      <c r="E6" s="110" t="s">
        <v>41</v>
      </c>
      <c r="F6" s="111">
        <f>f_ck/g_c</f>
        <v>14.285714285714286</v>
      </c>
      <c r="G6" s="1" t="s">
        <v>26</v>
      </c>
    </row>
    <row r="7" spans="3:7">
      <c r="C7" s="1" t="s">
        <v>2</v>
      </c>
      <c r="E7" s="110" t="s">
        <v>4</v>
      </c>
      <c r="F7" s="109">
        <v>1.1499999999999999</v>
      </c>
    </row>
    <row r="8" spans="3:7">
      <c r="C8" s="1" t="s">
        <v>36</v>
      </c>
      <c r="E8" s="110" t="s">
        <v>9</v>
      </c>
      <c r="F8" s="109">
        <v>200</v>
      </c>
      <c r="G8" s="1" t="s">
        <v>0</v>
      </c>
    </row>
    <row r="9" spans="3:7">
      <c r="C9" s="1" t="s">
        <v>10</v>
      </c>
      <c r="E9" s="110" t="s">
        <v>11</v>
      </c>
      <c r="F9" s="109">
        <v>35</v>
      </c>
      <c r="G9" s="1" t="s">
        <v>0</v>
      </c>
    </row>
    <row r="10" spans="3:7">
      <c r="C10" s="1" t="s">
        <v>12</v>
      </c>
      <c r="E10" s="110" t="s">
        <v>13</v>
      </c>
      <c r="F10" s="109">
        <f>h-a</f>
        <v>165</v>
      </c>
      <c r="G10" s="1" t="s">
        <v>0</v>
      </c>
    </row>
    <row r="11" spans="3:7" ht="20.25">
      <c r="C11" s="1" t="s">
        <v>8</v>
      </c>
      <c r="E11" s="108" t="s">
        <v>43</v>
      </c>
      <c r="F11" s="109">
        <v>200</v>
      </c>
      <c r="G11" s="1" t="s">
        <v>0</v>
      </c>
    </row>
    <row r="12" spans="3:7" ht="20.25">
      <c r="C12" s="1" t="s">
        <v>3</v>
      </c>
      <c r="E12" s="108" t="s">
        <v>44</v>
      </c>
      <c r="F12" s="109">
        <v>120</v>
      </c>
      <c r="G12" s="1" t="s">
        <v>0</v>
      </c>
    </row>
    <row r="13" spans="3:7" ht="20.25">
      <c r="C13" s="1" t="s">
        <v>5</v>
      </c>
      <c r="E13" s="108" t="s">
        <v>45</v>
      </c>
      <c r="F13" s="109">
        <v>520</v>
      </c>
      <c r="G13" s="1" t="s">
        <v>7</v>
      </c>
    </row>
    <row r="14" spans="3:7" ht="20.25">
      <c r="C14" s="1" t="s">
        <v>6</v>
      </c>
      <c r="E14" s="108" t="s">
        <v>46</v>
      </c>
      <c r="F14" s="109">
        <v>0</v>
      </c>
      <c r="G14" s="1" t="s">
        <v>7</v>
      </c>
    </row>
    <row r="15" spans="3:7" ht="21.75">
      <c r="C15" s="1" t="s">
        <v>14</v>
      </c>
      <c r="E15" s="108" t="s">
        <v>274</v>
      </c>
      <c r="F15" s="109">
        <v>0</v>
      </c>
      <c r="G15" s="1" t="s">
        <v>47</v>
      </c>
    </row>
    <row r="16" spans="3:7" ht="20.25">
      <c r="C16" s="1" t="s">
        <v>37</v>
      </c>
      <c r="E16" s="108" t="s">
        <v>273</v>
      </c>
      <c r="F16" s="109">
        <f>V_ED_d-V_Ed_g-V_q</f>
        <v>520</v>
      </c>
    </row>
    <row r="17" spans="3:7" ht="21.75">
      <c r="C17" s="1" t="s">
        <v>15</v>
      </c>
      <c r="E17" s="108" t="s">
        <v>48</v>
      </c>
      <c r="F17" s="109">
        <v>29.66</v>
      </c>
      <c r="G17" s="1" t="s">
        <v>49</v>
      </c>
    </row>
    <row r="18" spans="3:7" ht="20.25">
      <c r="C18" s="1" t="s">
        <v>17</v>
      </c>
      <c r="E18" s="110" t="s">
        <v>50</v>
      </c>
      <c r="F18" s="112">
        <f>A_sy/d/1000*100</f>
        <v>1.7975757575757575E-2</v>
      </c>
    </row>
    <row r="19" spans="3:7" ht="21.75">
      <c r="C19" s="1" t="s">
        <v>16</v>
      </c>
      <c r="E19" s="108" t="s">
        <v>68</v>
      </c>
      <c r="F19" s="109">
        <v>29.66</v>
      </c>
      <c r="G19" s="1" t="s">
        <v>49</v>
      </c>
    </row>
    <row r="20" spans="3:7" ht="20.25">
      <c r="C20" s="1" t="s">
        <v>18</v>
      </c>
      <c r="E20" s="110" t="s">
        <v>51</v>
      </c>
      <c r="F20" s="112">
        <f>A_sz/d/1000*100</f>
        <v>1.7975757575757575E-2</v>
      </c>
    </row>
    <row r="21" spans="3:7" ht="21" thickBot="1">
      <c r="C21" s="1" t="s">
        <v>19</v>
      </c>
      <c r="E21" s="113" t="s">
        <v>52</v>
      </c>
      <c r="F21" s="114">
        <f>(r_ly*r_lz)^0.5</f>
        <v>1.7975757575757575E-2</v>
      </c>
    </row>
    <row r="22" spans="3:7">
      <c r="C22" s="1" t="s">
        <v>29</v>
      </c>
      <c r="E22" s="115" t="s">
        <v>23</v>
      </c>
      <c r="F22" s="107">
        <f>0.6*(1-f_ck/250)</f>
        <v>0.55200000000000005</v>
      </c>
    </row>
    <row r="23" spans="3:7" ht="21" thickBot="1">
      <c r="C23" s="1" t="s">
        <v>30</v>
      </c>
      <c r="E23" s="113" t="s">
        <v>55</v>
      </c>
      <c r="F23" s="116">
        <f>0.4*F22*f_cd</f>
        <v>3.1542857142857148</v>
      </c>
      <c r="G23" s="1" t="s">
        <v>26</v>
      </c>
    </row>
    <row r="24" spans="3:7">
      <c r="C24" s="1" t="s">
        <v>31</v>
      </c>
      <c r="E24" s="115" t="s">
        <v>32</v>
      </c>
      <c r="F24" s="107">
        <f>MIN(1+(200/d),2)</f>
        <v>2</v>
      </c>
    </row>
    <row r="25" spans="3:7" ht="20.25">
      <c r="C25" s="1" t="s">
        <v>33</v>
      </c>
      <c r="E25" s="117" t="s">
        <v>34</v>
      </c>
      <c r="F25" s="118">
        <f>0.035*F24^(3/2)*f_ck^0.5</f>
        <v>0.44271887242357311</v>
      </c>
      <c r="G25" s="1" t="s">
        <v>26</v>
      </c>
    </row>
    <row r="26" spans="3:7" ht="21" thickBot="1">
      <c r="C26" s="1" t="s">
        <v>35</v>
      </c>
      <c r="E26" s="113" t="s">
        <v>56</v>
      </c>
      <c r="F26" s="116">
        <f>MAX(0.18/1.4*F24*(100*F21*f_ck)^(1/3)+0,F25+0)</f>
        <v>0.84868566074540563</v>
      </c>
      <c r="G26" s="1" t="s">
        <v>26</v>
      </c>
    </row>
    <row r="27" spans="3:7" ht="19.5" thickBot="1"/>
    <row r="28" spans="3:7" ht="20.25">
      <c r="C28" s="1" t="s">
        <v>20</v>
      </c>
      <c r="E28" s="115" t="s">
        <v>53</v>
      </c>
      <c r="F28" s="119">
        <f>PI()*ø</f>
        <v>1099.5574287564275</v>
      </c>
      <c r="G28" s="1" t="s">
        <v>0</v>
      </c>
    </row>
    <row r="29" spans="3:7" ht="21" thickBot="1">
      <c r="C29" s="1" t="s">
        <v>139</v>
      </c>
      <c r="E29" s="120" t="s">
        <v>167</v>
      </c>
      <c r="F29" s="116">
        <f>beta*F16/F28/(d+h_H)*1000</f>
        <v>1.9082637788261338</v>
      </c>
      <c r="G29" s="1" t="s">
        <v>26</v>
      </c>
    </row>
    <row r="30" spans="3:7" ht="21" thickBot="1">
      <c r="C30" s="1" t="s">
        <v>249</v>
      </c>
      <c r="E30" s="105" t="s">
        <v>250</v>
      </c>
      <c r="F30" s="98" t="str">
        <f>IF(F29&lt;F23,"OK", "NIE")</f>
        <v>OK</v>
      </c>
    </row>
    <row r="31" spans="3:7" ht="20.25">
      <c r="C31" s="1" t="s">
        <v>21</v>
      </c>
      <c r="E31" s="86" t="s">
        <v>54</v>
      </c>
      <c r="F31" s="87">
        <f>PI()*(ø+4*d)</f>
        <v>3173.008580125691</v>
      </c>
      <c r="G31" s="1" t="s">
        <v>0</v>
      </c>
    </row>
    <row r="32" spans="3:7" ht="20.25">
      <c r="C32" s="1" t="s">
        <v>22</v>
      </c>
      <c r="E32" s="86" t="s">
        <v>179</v>
      </c>
      <c r="F32" s="87">
        <f>PI()*(ø+4*d+2*h)</f>
        <v>4429.6456415616085</v>
      </c>
      <c r="G32" s="1" t="s">
        <v>0</v>
      </c>
    </row>
    <row r="33" spans="3:7" ht="21" thickBot="1">
      <c r="C33" s="1" t="s">
        <v>140</v>
      </c>
      <c r="E33" s="85" t="s">
        <v>122</v>
      </c>
      <c r="F33" s="88">
        <f>beta*F16/F32/(d+0)*1000</f>
        <v>0.8181788606830297</v>
      </c>
      <c r="G33" s="1" t="s">
        <v>26</v>
      </c>
    </row>
    <row r="34" spans="3:7" ht="21" thickBot="1">
      <c r="C34" s="1" t="s">
        <v>249</v>
      </c>
      <c r="E34" s="86" t="s">
        <v>251</v>
      </c>
      <c r="F34" s="66" t="str">
        <f>IF(F33&lt;F26,"OK", "NIE")</f>
        <v>OK</v>
      </c>
    </row>
  </sheetData>
  <mergeCells count="1">
    <mergeCell ref="C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6"/>
  <sheetViews>
    <sheetView topLeftCell="A16" workbookViewId="0">
      <selection activeCell="J33" sqref="J33"/>
    </sheetView>
  </sheetViews>
  <sheetFormatPr defaultRowHeight="18.75"/>
  <cols>
    <col min="3" max="3" width="12.42578125" style="1" customWidth="1"/>
    <col min="4" max="4" width="22.7109375" style="1" customWidth="1"/>
    <col min="5" max="5" width="15.28515625" style="2" customWidth="1"/>
    <col min="6" max="6" width="19.42578125" style="3" customWidth="1"/>
    <col min="7" max="8" width="9.140625" style="1"/>
    <col min="9" max="9" width="11.28515625" style="1" bestFit="1" customWidth="1"/>
    <col min="10" max="10" width="10.7109375" style="1" customWidth="1"/>
    <col min="11" max="11" width="14.7109375" style="1" customWidth="1"/>
    <col min="12" max="12" width="14.7109375" customWidth="1"/>
    <col min="13" max="13" width="12.5703125" customWidth="1"/>
  </cols>
  <sheetData>
    <row r="1" spans="3:7" ht="19.5" thickBot="1"/>
    <row r="2" spans="3:7" ht="19.5" thickBot="1">
      <c r="C2" s="93" t="s">
        <v>252</v>
      </c>
      <c r="D2" s="94"/>
      <c r="E2" s="94"/>
      <c r="F2" s="94"/>
      <c r="G2" s="95"/>
    </row>
    <row r="3" spans="3:7" ht="19.5" thickBot="1">
      <c r="C3" s="28" t="s">
        <v>230</v>
      </c>
      <c r="D3" s="28"/>
      <c r="E3" s="28"/>
      <c r="F3" s="28"/>
      <c r="G3" s="25"/>
    </row>
    <row r="4" spans="3:7" ht="20.25">
      <c r="C4" s="92" t="s">
        <v>83</v>
      </c>
      <c r="D4" s="92"/>
      <c r="E4" s="4" t="s">
        <v>38</v>
      </c>
      <c r="F4" s="5">
        <v>300</v>
      </c>
      <c r="G4" s="1" t="s">
        <v>0</v>
      </c>
    </row>
    <row r="5" spans="3:7" ht="20.25">
      <c r="C5" s="92" t="s">
        <v>84</v>
      </c>
      <c r="D5" s="92"/>
      <c r="E5" s="6" t="s">
        <v>39</v>
      </c>
      <c r="F5" s="7">
        <v>400</v>
      </c>
      <c r="G5" s="1" t="s">
        <v>0</v>
      </c>
    </row>
    <row r="6" spans="3:7" ht="20.25">
      <c r="C6" s="92" t="s">
        <v>24</v>
      </c>
      <c r="D6" s="92"/>
      <c r="E6" s="6" t="s">
        <v>254</v>
      </c>
      <c r="F6" s="7">
        <v>25</v>
      </c>
      <c r="G6" s="1" t="s">
        <v>25</v>
      </c>
    </row>
    <row r="7" spans="3:7" ht="20.25">
      <c r="C7" s="92" t="s">
        <v>58</v>
      </c>
      <c r="D7" s="92"/>
      <c r="E7" s="8" t="s">
        <v>40</v>
      </c>
      <c r="F7" s="7">
        <v>1.4</v>
      </c>
    </row>
    <row r="8" spans="3:7" ht="20.25">
      <c r="C8" s="1" t="s">
        <v>60</v>
      </c>
      <c r="E8" s="8" t="s">
        <v>41</v>
      </c>
      <c r="F8" s="9">
        <f>f_ck/g_c</f>
        <v>17.857142857142858</v>
      </c>
      <c r="G8" s="1" t="s">
        <v>26</v>
      </c>
    </row>
    <row r="9" spans="3:7" s="1" customFormat="1">
      <c r="C9" s="92" t="s">
        <v>89</v>
      </c>
      <c r="D9" s="92"/>
      <c r="E9" s="8" t="s">
        <v>13</v>
      </c>
      <c r="F9" s="10">
        <v>160</v>
      </c>
      <c r="G9" s="1" t="s">
        <v>0</v>
      </c>
    </row>
    <row r="10" spans="3:7" s="1" customFormat="1">
      <c r="C10" s="44" t="s">
        <v>255</v>
      </c>
      <c r="D10" s="44"/>
      <c r="E10" s="8" t="s">
        <v>4</v>
      </c>
      <c r="F10" s="10">
        <v>1.1499999999999999</v>
      </c>
    </row>
    <row r="11" spans="3:7" s="1" customFormat="1" ht="20.25">
      <c r="C11" s="1" t="s">
        <v>5</v>
      </c>
      <c r="E11" s="6" t="s">
        <v>45</v>
      </c>
      <c r="F11" s="7">
        <v>600.29999999999995</v>
      </c>
      <c r="G11" s="1" t="s">
        <v>7</v>
      </c>
    </row>
    <row r="12" spans="3:7" s="1" customFormat="1" ht="21" thickBot="1">
      <c r="C12" s="1" t="s">
        <v>90</v>
      </c>
      <c r="E12" s="13" t="s">
        <v>52</v>
      </c>
      <c r="F12" s="14">
        <v>1.7999999999999999E-2</v>
      </c>
    </row>
    <row r="13" spans="3:7" s="1" customFormat="1">
      <c r="C13" s="1" t="s">
        <v>29</v>
      </c>
      <c r="E13" s="15" t="s">
        <v>23</v>
      </c>
      <c r="F13" s="55">
        <f>0.6*(1-f_ck/250)</f>
        <v>0.54</v>
      </c>
    </row>
    <row r="14" spans="3:7" s="1" customFormat="1" ht="21" thickBot="1">
      <c r="C14" s="1" t="s">
        <v>173</v>
      </c>
      <c r="E14" s="13" t="s">
        <v>55</v>
      </c>
      <c r="F14" s="49">
        <f>0.4*ni*f_cd</f>
        <v>3.8571428571428577</v>
      </c>
    </row>
    <row r="15" spans="3:7" s="1" customFormat="1" ht="20.25">
      <c r="C15" s="1" t="s">
        <v>94</v>
      </c>
      <c r="E15" s="8" t="s">
        <v>72</v>
      </c>
      <c r="F15" s="20">
        <v>0.129</v>
      </c>
      <c r="G15" s="1" t="s">
        <v>26</v>
      </c>
    </row>
    <row r="16" spans="3:7" s="1" customFormat="1">
      <c r="C16" s="1" t="s">
        <v>73</v>
      </c>
      <c r="E16" s="8" t="s">
        <v>32</v>
      </c>
      <c r="F16" s="19">
        <f>MIN((1+(200/d)^0.5),2)</f>
        <v>2</v>
      </c>
    </row>
    <row r="17" spans="3:9" s="1" customFormat="1" ht="20.25">
      <c r="C17" s="1" t="s">
        <v>92</v>
      </c>
      <c r="E17" s="21" t="s">
        <v>175</v>
      </c>
      <c r="F17" s="20">
        <f>0.035*_k^(3/2)*f_ck^0.5</f>
        <v>0.49497474683058323</v>
      </c>
    </row>
    <row r="18" spans="3:9" s="1" customFormat="1" ht="20.25">
      <c r="C18" s="1" t="s">
        <v>174</v>
      </c>
      <c r="E18" s="8" t="s">
        <v>202</v>
      </c>
      <c r="F18" s="9">
        <v>0</v>
      </c>
      <c r="G18" s="73" t="s">
        <v>25</v>
      </c>
      <c r="I18"/>
    </row>
    <row r="19" spans="3:9" s="1" customFormat="1" ht="21" thickBot="1">
      <c r="C19" s="44"/>
      <c r="D19" s="44"/>
      <c r="E19" s="13" t="s">
        <v>56</v>
      </c>
      <c r="F19" s="57">
        <f>MAX(C_Rdc*(100*r_l*f_ck)^(1/3)+F18,ni_min+F18)</f>
        <v>0.49497474683058323</v>
      </c>
      <c r="G19" s="1" t="s">
        <v>26</v>
      </c>
    </row>
    <row r="20" spans="3:9" s="1" customFormat="1" ht="19.5" thickBot="1">
      <c r="E20" s="47"/>
      <c r="F20" s="89"/>
    </row>
    <row r="21" spans="3:9" s="1" customFormat="1" ht="20.25">
      <c r="C21" s="27" t="s">
        <v>101</v>
      </c>
      <c r="E21" s="15" t="s">
        <v>53</v>
      </c>
      <c r="F21" s="16">
        <f>2*(c_y+c_z)</f>
        <v>1400</v>
      </c>
      <c r="G21" s="1" t="s">
        <v>0</v>
      </c>
    </row>
    <row r="22" spans="3:9" s="1" customFormat="1">
      <c r="C22" s="1" t="s">
        <v>29</v>
      </c>
      <c r="E22" s="8" t="s">
        <v>23</v>
      </c>
      <c r="F22" s="20">
        <f>0.6*(1-f_ck/250)</f>
        <v>0.54</v>
      </c>
    </row>
    <row r="23" spans="3:9" s="1" customFormat="1" ht="20.25">
      <c r="C23" s="1" t="s">
        <v>95</v>
      </c>
      <c r="E23" s="8" t="s">
        <v>55</v>
      </c>
      <c r="F23" s="19">
        <f>0.4*F22*f_cd</f>
        <v>3.8571428571428577</v>
      </c>
      <c r="G23" s="1" t="s">
        <v>26</v>
      </c>
    </row>
    <row r="24" spans="3:9" s="1" customFormat="1" ht="21" thickBot="1">
      <c r="C24" s="1" t="s">
        <v>100</v>
      </c>
      <c r="E24" s="6" t="s">
        <v>57</v>
      </c>
      <c r="F24" s="19">
        <f>beta*F11/F21/(0+F9)*1000</f>
        <v>3.081897321428571</v>
      </c>
      <c r="G24" s="1" t="s">
        <v>26</v>
      </c>
    </row>
    <row r="25" spans="3:9" s="1" customFormat="1" ht="21" thickBot="1">
      <c r="E25" s="22" t="s">
        <v>183</v>
      </c>
      <c r="F25" s="66" t="str">
        <f>IF(F24&lt;F23,"OK","ŻLE")</f>
        <v>OK</v>
      </c>
    </row>
    <row r="26" spans="3:9" s="1" customFormat="1" ht="19.5" thickBot="1">
      <c r="C26" s="27" t="s">
        <v>98</v>
      </c>
      <c r="E26" s="17"/>
      <c r="F26" s="18"/>
    </row>
    <row r="27" spans="3:9" s="1" customFormat="1">
      <c r="C27" s="1" t="s">
        <v>256</v>
      </c>
      <c r="E27" s="4" t="s">
        <v>80</v>
      </c>
      <c r="F27" s="102">
        <f>2*d</f>
        <v>320</v>
      </c>
      <c r="G27" s="1" t="s">
        <v>0</v>
      </c>
    </row>
    <row r="28" spans="3:9" s="1" customFormat="1" ht="20.25">
      <c r="C28" s="1" t="s">
        <v>258</v>
      </c>
      <c r="E28" s="8" t="s">
        <v>179</v>
      </c>
      <c r="F28" s="11">
        <f>2*(c_y+c_z+PI()*x_1)</f>
        <v>3410.6192982974676</v>
      </c>
      <c r="G28" s="1" t="s">
        <v>0</v>
      </c>
      <c r="I28" s="90"/>
    </row>
    <row r="29" spans="3:9" s="1" customFormat="1" ht="20.25">
      <c r="C29" s="1" t="s">
        <v>262</v>
      </c>
      <c r="E29" s="8" t="s">
        <v>260</v>
      </c>
      <c r="F29" s="11">
        <v>400</v>
      </c>
      <c r="G29" s="1" t="s">
        <v>0</v>
      </c>
      <c r="I29" s="90"/>
    </row>
    <row r="30" spans="3:9" s="1" customFormat="1" ht="20.25">
      <c r="C30" s="1" t="s">
        <v>263</v>
      </c>
      <c r="E30" s="8" t="s">
        <v>261</v>
      </c>
      <c r="F30" s="11">
        <v>250</v>
      </c>
      <c r="G30" s="1" t="s">
        <v>0</v>
      </c>
      <c r="I30" s="90"/>
    </row>
    <row r="31" spans="3:9" s="1" customFormat="1" ht="20.25">
      <c r="C31" s="1" t="s">
        <v>267</v>
      </c>
      <c r="E31" s="8" t="s">
        <v>268</v>
      </c>
      <c r="F31" s="11">
        <v>500</v>
      </c>
      <c r="G31" s="1" t="s">
        <v>0</v>
      </c>
      <c r="I31" s="90"/>
    </row>
    <row r="32" spans="3:9" s="1" customFormat="1" ht="20.25">
      <c r="C32" s="1" t="s">
        <v>266</v>
      </c>
      <c r="E32" s="8" t="s">
        <v>264</v>
      </c>
      <c r="F32" s="11">
        <f>IF(F29&lt;=F30,F30,(F29*F30)^0.5)</f>
        <v>316.22776601683796</v>
      </c>
      <c r="G32" s="1" t="s">
        <v>0</v>
      </c>
      <c r="I32" s="90"/>
    </row>
    <row r="33" spans="3:9" s="1" customFormat="1" ht="20.25">
      <c r="C33" s="1" t="s">
        <v>259</v>
      </c>
      <c r="E33" s="8" t="s">
        <v>265</v>
      </c>
      <c r="F33" s="11">
        <f>F32*(c_y/2+x_1)/(c_y/2+F31)</f>
        <v>228.65700004294439</v>
      </c>
      <c r="G33" s="1" t="s">
        <v>0</v>
      </c>
      <c r="I33" s="90"/>
    </row>
    <row r="34" spans="3:9" s="1" customFormat="1" ht="20.25">
      <c r="C34" s="1" t="s">
        <v>269</v>
      </c>
      <c r="E34" s="82" t="s">
        <v>270</v>
      </c>
      <c r="F34" s="103">
        <f>F28-F33</f>
        <v>3181.9622982545234</v>
      </c>
      <c r="I34" s="90"/>
    </row>
    <row r="35" spans="3:9" ht="21" thickBot="1">
      <c r="C35" s="1" t="s">
        <v>271</v>
      </c>
      <c r="E35" s="6" t="s">
        <v>248</v>
      </c>
      <c r="F35" s="19">
        <f>beta*V_Ed_d/F34/d*1000</f>
        <v>1.3559734043256324</v>
      </c>
      <c r="G35" s="1" t="s">
        <v>26</v>
      </c>
    </row>
    <row r="36" spans="3:9" ht="21" thickBot="1">
      <c r="E36" s="22" t="s">
        <v>257</v>
      </c>
      <c r="F36" s="66" t="str">
        <f>IF(F35&lt;F19,"OK","zbroić")</f>
        <v>zbroić</v>
      </c>
    </row>
  </sheetData>
  <mergeCells count="6">
    <mergeCell ref="C9:D9"/>
    <mergeCell ref="C2:G2"/>
    <mergeCell ref="C4:D4"/>
    <mergeCell ref="C5:D5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57"/>
  <sheetViews>
    <sheetView workbookViewId="0">
      <selection activeCell="C12" sqref="C12"/>
    </sheetView>
  </sheetViews>
  <sheetFormatPr defaultRowHeight="18.75"/>
  <cols>
    <col min="3" max="3" width="29.85546875" style="1" customWidth="1"/>
    <col min="4" max="4" width="11.28515625" style="1" customWidth="1"/>
    <col min="5" max="5" width="17.5703125" style="2" customWidth="1"/>
    <col min="6" max="6" width="19.42578125" style="3" customWidth="1"/>
    <col min="7" max="7" width="9.140625" style="1"/>
    <col min="8" max="8" width="14.7109375" customWidth="1"/>
    <col min="9" max="9" width="12.5703125" customWidth="1"/>
  </cols>
  <sheetData>
    <row r="1" spans="3:7" ht="19.5" thickBot="1"/>
    <row r="2" spans="3:7" ht="19.5" thickBot="1">
      <c r="C2" s="93" t="s">
        <v>214</v>
      </c>
      <c r="D2" s="94"/>
      <c r="E2" s="94"/>
      <c r="F2" s="94"/>
      <c r="G2" s="95"/>
    </row>
    <row r="3" spans="3:7" ht="19.5" thickBot="1">
      <c r="C3" s="28" t="s">
        <v>230</v>
      </c>
      <c r="D3" s="28"/>
      <c r="E3" s="28"/>
      <c r="F3" s="28"/>
      <c r="G3" s="25"/>
    </row>
    <row r="4" spans="3:7" ht="20.25">
      <c r="C4" s="92" t="s">
        <v>83</v>
      </c>
      <c r="D4" s="92"/>
      <c r="E4" s="4" t="s">
        <v>38</v>
      </c>
      <c r="F4" s="5">
        <v>350</v>
      </c>
      <c r="G4" s="1" t="s">
        <v>0</v>
      </c>
    </row>
    <row r="5" spans="3:7" ht="20.25">
      <c r="C5" s="92" t="s">
        <v>84</v>
      </c>
      <c r="D5" s="92"/>
      <c r="E5" s="6" t="s">
        <v>39</v>
      </c>
      <c r="F5" s="7">
        <v>350</v>
      </c>
      <c r="G5" s="1" t="s">
        <v>0</v>
      </c>
    </row>
    <row r="6" spans="3:7" ht="20.25">
      <c r="C6" s="92" t="s">
        <v>24</v>
      </c>
      <c r="D6" s="92"/>
      <c r="E6" s="6" t="s">
        <v>215</v>
      </c>
      <c r="F6" s="7">
        <v>25</v>
      </c>
      <c r="G6" s="1" t="s">
        <v>26</v>
      </c>
    </row>
    <row r="7" spans="3:7" ht="20.25">
      <c r="C7" s="92" t="s">
        <v>58</v>
      </c>
      <c r="D7" s="92"/>
      <c r="E7" s="8" t="s">
        <v>40</v>
      </c>
      <c r="F7" s="7">
        <v>1.4</v>
      </c>
    </row>
    <row r="8" spans="3:7" ht="20.25">
      <c r="C8" s="1" t="s">
        <v>60</v>
      </c>
      <c r="E8" s="8" t="s">
        <v>41</v>
      </c>
      <c r="F8" s="9">
        <f>f_ck/g_c</f>
        <v>17.857142857142858</v>
      </c>
      <c r="G8" s="1" t="s">
        <v>26</v>
      </c>
    </row>
    <row r="9" spans="3:7">
      <c r="C9" s="92" t="s">
        <v>62</v>
      </c>
      <c r="D9" s="92"/>
      <c r="E9" s="8" t="s">
        <v>4</v>
      </c>
      <c r="F9" s="7">
        <v>1.1499999999999999</v>
      </c>
    </row>
    <row r="10" spans="3:7" ht="20.25">
      <c r="C10" s="92" t="s">
        <v>224</v>
      </c>
      <c r="D10" s="92"/>
      <c r="E10" s="8" t="s">
        <v>222</v>
      </c>
      <c r="F10" s="7">
        <v>700</v>
      </c>
      <c r="G10" s="1" t="s">
        <v>0</v>
      </c>
    </row>
    <row r="11" spans="3:7" ht="20.25">
      <c r="C11" s="1" t="s">
        <v>223</v>
      </c>
      <c r="E11" s="78" t="s">
        <v>217</v>
      </c>
      <c r="F11" s="79">
        <v>2350</v>
      </c>
      <c r="G11" s="1" t="s">
        <v>0</v>
      </c>
    </row>
    <row r="12" spans="3:7" ht="20.25">
      <c r="C12" s="1" t="s">
        <v>218</v>
      </c>
      <c r="E12" s="78" t="s">
        <v>219</v>
      </c>
      <c r="F12" s="79">
        <v>2350</v>
      </c>
      <c r="G12" s="1" t="s">
        <v>0</v>
      </c>
    </row>
    <row r="13" spans="3:7" ht="20.25">
      <c r="C13" s="92" t="s">
        <v>85</v>
      </c>
      <c r="D13" s="92"/>
      <c r="E13" s="8" t="s">
        <v>63</v>
      </c>
      <c r="F13" s="7">
        <v>80</v>
      </c>
      <c r="G13" s="1" t="s">
        <v>0</v>
      </c>
    </row>
    <row r="14" spans="3:7" ht="20.25">
      <c r="C14" s="92" t="s">
        <v>86</v>
      </c>
      <c r="D14" s="92"/>
      <c r="E14" s="8" t="s">
        <v>64</v>
      </c>
      <c r="F14" s="10">
        <f>h-a_y</f>
        <v>620</v>
      </c>
      <c r="G14" s="1" t="s">
        <v>0</v>
      </c>
    </row>
    <row r="15" spans="3:7" ht="20.25">
      <c r="C15" s="92" t="s">
        <v>87</v>
      </c>
      <c r="D15" s="92"/>
      <c r="E15" s="8" t="s">
        <v>65</v>
      </c>
      <c r="F15" s="10">
        <v>80</v>
      </c>
    </row>
    <row r="16" spans="3:7" ht="20.25">
      <c r="C16" s="92" t="s">
        <v>88</v>
      </c>
      <c r="D16" s="92"/>
      <c r="E16" s="8" t="s">
        <v>66</v>
      </c>
      <c r="F16" s="10">
        <f>h-a_z</f>
        <v>620</v>
      </c>
    </row>
    <row r="17" spans="3:7">
      <c r="C17" s="92" t="s">
        <v>145</v>
      </c>
      <c r="D17" s="92"/>
      <c r="E17" s="53" t="s">
        <v>13</v>
      </c>
      <c r="F17" s="54">
        <f>(d_y+d_z)/2</f>
        <v>620</v>
      </c>
    </row>
    <row r="18" spans="3:7" ht="20.25">
      <c r="C18" s="1" t="s">
        <v>159</v>
      </c>
      <c r="E18" s="8" t="s">
        <v>50</v>
      </c>
      <c r="F18" s="12">
        <v>1.7999999999999999E-2</v>
      </c>
    </row>
    <row r="19" spans="3:7" ht="21" thickBot="1">
      <c r="C19" s="1" t="s">
        <v>160</v>
      </c>
      <c r="E19" s="13" t="s">
        <v>51</v>
      </c>
      <c r="F19" s="14">
        <v>1.7999999999999999E-2</v>
      </c>
      <c r="G19" s="1" t="s">
        <v>26</v>
      </c>
    </row>
    <row r="20" spans="3:7" ht="21" thickBot="1">
      <c r="C20" s="1" t="s">
        <v>161</v>
      </c>
      <c r="E20" s="58" t="s">
        <v>52</v>
      </c>
      <c r="F20" s="59">
        <f>(r_ly*r_lz)^0.5</f>
        <v>1.7999999999999999E-2</v>
      </c>
    </row>
    <row r="21" spans="3:7">
      <c r="C21" s="1" t="s">
        <v>29</v>
      </c>
      <c r="E21" s="15" t="s">
        <v>23</v>
      </c>
      <c r="F21" s="55">
        <f>0.6*(1-f_ck/250)</f>
        <v>0.54</v>
      </c>
    </row>
    <row r="22" spans="3:7" ht="21" thickBot="1">
      <c r="C22" s="1" t="s">
        <v>173</v>
      </c>
      <c r="E22" s="13" t="s">
        <v>55</v>
      </c>
      <c r="F22" s="49">
        <f>0.4*ni*f_cd</f>
        <v>3.8571428571428577</v>
      </c>
    </row>
    <row r="23" spans="3:7" ht="20.25">
      <c r="C23" s="1" t="s">
        <v>93</v>
      </c>
      <c r="E23" s="15" t="s">
        <v>71</v>
      </c>
      <c r="F23" s="56">
        <v>0.18</v>
      </c>
      <c r="G23" s="1" t="s">
        <v>26</v>
      </c>
    </row>
    <row r="24" spans="3:7" ht="20.25">
      <c r="C24" s="1" t="s">
        <v>94</v>
      </c>
      <c r="E24" s="8" t="s">
        <v>72</v>
      </c>
      <c r="F24" s="20">
        <f>F23/g_c</f>
        <v>0.12857142857142859</v>
      </c>
      <c r="G24" s="1" t="s">
        <v>26</v>
      </c>
    </row>
    <row r="25" spans="3:7">
      <c r="C25" s="1" t="s">
        <v>73</v>
      </c>
      <c r="E25" s="8" t="s">
        <v>32</v>
      </c>
      <c r="F25" s="19">
        <f>MIN((1+(200/d)^0.5),2)</f>
        <v>1.5679618342470647</v>
      </c>
    </row>
    <row r="26" spans="3:7" ht="20.25">
      <c r="C26" s="1" t="s">
        <v>92</v>
      </c>
      <c r="E26" s="21" t="s">
        <v>175</v>
      </c>
      <c r="F26" s="20">
        <f>0.035*F25^(3/2)*f_ck^0.5</f>
        <v>0.34359060461182417</v>
      </c>
    </row>
    <row r="27" spans="3:7" ht="20.25">
      <c r="C27" s="1" t="s">
        <v>174</v>
      </c>
      <c r="E27" s="8" t="s">
        <v>202</v>
      </c>
      <c r="F27" s="9">
        <v>0</v>
      </c>
      <c r="G27" s="73" t="s">
        <v>25</v>
      </c>
    </row>
    <row r="28" spans="3:7" ht="21" thickBot="1">
      <c r="C28" s="44"/>
      <c r="D28" s="44"/>
      <c r="E28" s="13" t="s">
        <v>56</v>
      </c>
      <c r="F28" s="57">
        <f>MAX(F24*F25*(100*r_l*f_ck)^(1/3)+F27,F26+F27)</f>
        <v>0.7170522364194869</v>
      </c>
      <c r="G28" s="1" t="s">
        <v>26</v>
      </c>
    </row>
    <row r="29" spans="3:7">
      <c r="C29" s="44" t="s">
        <v>216</v>
      </c>
      <c r="D29" s="44"/>
      <c r="E29" s="47"/>
      <c r="F29" s="48"/>
    </row>
    <row r="30" spans="3:7" ht="19.5" thickBot="1">
      <c r="C30" s="1" t="s">
        <v>147</v>
      </c>
      <c r="E30"/>
      <c r="F30"/>
    </row>
    <row r="31" spans="3:7" ht="20.25">
      <c r="C31" s="1" t="s">
        <v>148</v>
      </c>
      <c r="E31" s="4" t="s">
        <v>43</v>
      </c>
      <c r="F31" s="5">
        <v>0</v>
      </c>
      <c r="G31" s="1" t="s">
        <v>7</v>
      </c>
    </row>
    <row r="32" spans="3:7" ht="21" thickBot="1">
      <c r="E32" s="22" t="s">
        <v>44</v>
      </c>
      <c r="F32" s="50">
        <v>0</v>
      </c>
      <c r="G32" s="1" t="s">
        <v>7</v>
      </c>
    </row>
    <row r="33" spans="3:7" ht="19.5" thickBot="1">
      <c r="C33" s="27" t="s">
        <v>234</v>
      </c>
      <c r="E33"/>
      <c r="F33"/>
    </row>
    <row r="34" spans="3:7" ht="20.25">
      <c r="C34" s="1" t="s">
        <v>232</v>
      </c>
      <c r="E34" s="4" t="s">
        <v>233</v>
      </c>
      <c r="F34" s="5">
        <v>2204</v>
      </c>
      <c r="G34" s="1" t="s">
        <v>228</v>
      </c>
    </row>
    <row r="35" spans="3:7" ht="20.25">
      <c r="C35" s="1" t="s">
        <v>220</v>
      </c>
      <c r="E35" s="78" t="s">
        <v>225</v>
      </c>
      <c r="F35" s="80">
        <f>MIN((c_y+5*h),F11)</f>
        <v>2350</v>
      </c>
      <c r="G35" s="1" t="s">
        <v>0</v>
      </c>
    </row>
    <row r="36" spans="3:7" ht="20.25">
      <c r="C36" s="1" t="s">
        <v>221</v>
      </c>
      <c r="E36" s="78" t="s">
        <v>226</v>
      </c>
      <c r="F36" s="80">
        <f>MIN((c_z+5*h),F12)</f>
        <v>2350</v>
      </c>
      <c r="G36" s="1" t="s">
        <v>0</v>
      </c>
    </row>
    <row r="37" spans="3:7" ht="21.75">
      <c r="C37" s="1" t="s">
        <v>231</v>
      </c>
      <c r="E37" s="78" t="s">
        <v>227</v>
      </c>
      <c r="F37" s="80">
        <f>V_Ed_d/F35/F36*1000*1000</f>
        <v>399.09461294703488</v>
      </c>
      <c r="G37" s="1" t="s">
        <v>47</v>
      </c>
    </row>
    <row r="38" spans="3:7">
      <c r="E38" s="25"/>
      <c r="F38" s="81"/>
    </row>
    <row r="39" spans="3:7" ht="19.5" thickBot="1">
      <c r="C39" s="27" t="s">
        <v>101</v>
      </c>
      <c r="E39" s="1"/>
      <c r="F39" s="1"/>
    </row>
    <row r="40" spans="3:7" ht="21" thickBot="1">
      <c r="C40" s="1" t="s">
        <v>100</v>
      </c>
      <c r="E40" s="62" t="s">
        <v>53</v>
      </c>
      <c r="F40" s="63">
        <f>2*(c_y+c_z)</f>
        <v>1400</v>
      </c>
      <c r="G40" s="1" t="s">
        <v>0</v>
      </c>
    </row>
    <row r="41" spans="3:7" ht="21" thickBot="1">
      <c r="E41" s="64" t="s">
        <v>167</v>
      </c>
      <c r="F41" s="65">
        <f>beta*V_Ed_d/d/(h_H+u_0)*1000</f>
        <v>2.9200460829493089</v>
      </c>
      <c r="G41" s="1" t="s">
        <v>26</v>
      </c>
    </row>
    <row r="42" spans="3:7" ht="21" thickBot="1">
      <c r="E42" s="45" t="s">
        <v>183</v>
      </c>
      <c r="F42" s="66" t="str">
        <f>IF(v_Ed_0&lt;F22, "OK", "ŻLE")</f>
        <v>OK</v>
      </c>
      <c r="G42" s="51"/>
    </row>
    <row r="43" spans="3:7" ht="19.5" thickBot="1">
      <c r="C43" s="27" t="s">
        <v>141</v>
      </c>
      <c r="E43" s="25"/>
      <c r="F43" s="30"/>
    </row>
    <row r="44" spans="3:7" ht="20.25">
      <c r="C44" s="1" t="s">
        <v>229</v>
      </c>
      <c r="E44" s="24" t="s">
        <v>142</v>
      </c>
      <c r="F44" s="67">
        <v>453.7681846423356</v>
      </c>
      <c r="G44" s="1" t="s">
        <v>0</v>
      </c>
    </row>
    <row r="45" spans="3:7" ht="21.75">
      <c r="C45" s="1" t="s">
        <v>168</v>
      </c>
      <c r="E45" s="6" t="s">
        <v>97</v>
      </c>
      <c r="F45" s="11">
        <f>(2*(c_y+c_z)*x_max+PI()*x_max^2+c_y*c_z)/100</f>
        <v>14046.468700730586</v>
      </c>
      <c r="G45" s="1" t="s">
        <v>49</v>
      </c>
    </row>
    <row r="46" spans="3:7" ht="20.25">
      <c r="C46" s="1" t="s">
        <v>136</v>
      </c>
      <c r="E46" s="6" t="s">
        <v>129</v>
      </c>
      <c r="F46" s="9">
        <f>F37*F45/100/100</f>
        <v>560.58699893907135</v>
      </c>
      <c r="G46" s="1" t="s">
        <v>7</v>
      </c>
    </row>
    <row r="47" spans="3:7" ht="20.25">
      <c r="C47" s="1" t="s">
        <v>137</v>
      </c>
      <c r="E47" s="6" t="s">
        <v>172</v>
      </c>
      <c r="F47" s="9">
        <f>V_Ed_d-F46</f>
        <v>1643.4130010609288</v>
      </c>
      <c r="G47" s="1" t="s">
        <v>7</v>
      </c>
    </row>
    <row r="48" spans="3:7" ht="20.25">
      <c r="C48" s="1" t="s">
        <v>176</v>
      </c>
      <c r="E48" s="6" t="s">
        <v>99</v>
      </c>
      <c r="F48" s="11">
        <f>2*(c_y+c_z+PI()*x_max)</f>
        <v>4251.1095906102764</v>
      </c>
      <c r="G48" s="1" t="s">
        <v>0</v>
      </c>
    </row>
    <row r="49" spans="3:7">
      <c r="C49" s="1" t="s">
        <v>135</v>
      </c>
      <c r="E49" s="6" t="s">
        <v>134</v>
      </c>
      <c r="F49" s="20">
        <f>beta*F47/(d*F48)*1000</f>
        <v>0.71705186266848231</v>
      </c>
      <c r="G49" s="1" t="s">
        <v>26</v>
      </c>
    </row>
    <row r="50" spans="3:7" ht="19.5" thickBot="1">
      <c r="C50" s="23" t="s">
        <v>166</v>
      </c>
      <c r="D50" s="3"/>
      <c r="E50" s="22" t="s">
        <v>235</v>
      </c>
      <c r="F50" s="26">
        <f>F49/F28</f>
        <v>0.9999994787673957</v>
      </c>
      <c r="G50" s="1" t="s">
        <v>91</v>
      </c>
    </row>
    <row r="51" spans="3:7" ht="19.5" thickBot="1">
      <c r="E51" s="46" t="s">
        <v>177</v>
      </c>
      <c r="F51" s="60" t="str">
        <f>IF(x_max&gt;2*d, "2d", "xmax")</f>
        <v>xmax</v>
      </c>
      <c r="G51" s="52"/>
    </row>
    <row r="52" spans="3:7" ht="15">
      <c r="C52"/>
      <c r="D52"/>
      <c r="E52"/>
      <c r="F52"/>
      <c r="G52"/>
    </row>
    <row r="53" spans="3:7">
      <c r="E53" s="1"/>
      <c r="F53" s="1"/>
    </row>
    <row r="54" spans="3:7">
      <c r="E54" s="1"/>
      <c r="F54" s="1"/>
    </row>
    <row r="55" spans="3:7">
      <c r="E55" s="1"/>
      <c r="F55" s="1"/>
    </row>
    <row r="56" spans="3:7">
      <c r="E56" s="1"/>
      <c r="F56" s="1"/>
    </row>
    <row r="57" spans="3:7">
      <c r="E57" s="1"/>
      <c r="F57" s="1"/>
    </row>
  </sheetData>
  <mergeCells count="12">
    <mergeCell ref="C17:D17"/>
    <mergeCell ref="C2:G2"/>
    <mergeCell ref="C4:D4"/>
    <mergeCell ref="C5:D5"/>
    <mergeCell ref="C6:D6"/>
    <mergeCell ref="C7:D7"/>
    <mergeCell ref="C9:D9"/>
    <mergeCell ref="C10:D10"/>
    <mergeCell ref="C13:D13"/>
    <mergeCell ref="C14:D14"/>
    <mergeCell ref="C15:D15"/>
    <mergeCell ref="C16:D1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58"/>
  <sheetViews>
    <sheetView workbookViewId="0">
      <selection activeCell="F53" sqref="F53"/>
    </sheetView>
  </sheetViews>
  <sheetFormatPr defaultRowHeight="18.75"/>
  <cols>
    <col min="3" max="3" width="29.85546875" style="1" customWidth="1"/>
    <col min="4" max="4" width="11.28515625" style="1" customWidth="1"/>
    <col min="5" max="5" width="17.5703125" style="2" customWidth="1"/>
    <col min="6" max="6" width="19.42578125" style="3" customWidth="1"/>
    <col min="7" max="7" width="9.140625" style="1"/>
    <col min="8" max="8" width="14.7109375" customWidth="1"/>
    <col min="9" max="9" width="12.5703125" customWidth="1"/>
  </cols>
  <sheetData>
    <row r="1" spans="3:7" ht="19.5" thickBot="1"/>
    <row r="2" spans="3:7" ht="19.5" thickBot="1">
      <c r="C2" s="93" t="s">
        <v>272</v>
      </c>
      <c r="D2" s="94"/>
      <c r="E2" s="94"/>
      <c r="F2" s="94"/>
      <c r="G2" s="95"/>
    </row>
    <row r="3" spans="3:7" ht="19.5" thickBot="1">
      <c r="C3" s="28" t="s">
        <v>230</v>
      </c>
      <c r="D3" s="28"/>
      <c r="E3" s="28"/>
      <c r="F3" s="28"/>
      <c r="G3" s="83"/>
    </row>
    <row r="4" spans="3:7" ht="20.25">
      <c r="C4" s="92" t="s">
        <v>83</v>
      </c>
      <c r="D4" s="92"/>
      <c r="E4" s="4" t="s">
        <v>38</v>
      </c>
      <c r="F4" s="5">
        <v>700</v>
      </c>
      <c r="G4" s="1" t="s">
        <v>0</v>
      </c>
    </row>
    <row r="5" spans="3:7" ht="20.25">
      <c r="C5" s="92" t="s">
        <v>84</v>
      </c>
      <c r="D5" s="92"/>
      <c r="E5" s="6" t="s">
        <v>39</v>
      </c>
      <c r="F5" s="7">
        <v>250</v>
      </c>
      <c r="G5" s="1" t="s">
        <v>0</v>
      </c>
    </row>
    <row r="6" spans="3:7" ht="20.25">
      <c r="C6" s="92" t="s">
        <v>24</v>
      </c>
      <c r="D6" s="92"/>
      <c r="E6" s="6" t="s">
        <v>143</v>
      </c>
      <c r="F6" s="7">
        <v>30</v>
      </c>
      <c r="G6" s="1" t="s">
        <v>26</v>
      </c>
    </row>
    <row r="7" spans="3:7" ht="20.25">
      <c r="C7" s="92" t="s">
        <v>58</v>
      </c>
      <c r="D7" s="92"/>
      <c r="E7" s="8" t="s">
        <v>40</v>
      </c>
      <c r="F7" s="7">
        <v>1.4</v>
      </c>
    </row>
    <row r="8" spans="3:7" ht="20.25">
      <c r="C8" s="1" t="s">
        <v>60</v>
      </c>
      <c r="E8" s="8" t="s">
        <v>41</v>
      </c>
      <c r="F8" s="9">
        <f>f_ck/g_c</f>
        <v>21.428571428571431</v>
      </c>
      <c r="G8" s="1" t="s">
        <v>26</v>
      </c>
    </row>
    <row r="9" spans="3:7">
      <c r="C9" s="92" t="s">
        <v>62</v>
      </c>
      <c r="D9" s="92"/>
      <c r="E9" s="8" t="s">
        <v>4</v>
      </c>
      <c r="F9" s="7">
        <v>1.1499999999999999</v>
      </c>
    </row>
    <row r="10" spans="3:7" ht="20.25">
      <c r="C10" s="92" t="s">
        <v>224</v>
      </c>
      <c r="D10" s="92"/>
      <c r="E10" s="8" t="s">
        <v>222</v>
      </c>
      <c r="F10" s="7">
        <v>800</v>
      </c>
      <c r="G10" s="1" t="s">
        <v>0</v>
      </c>
    </row>
    <row r="11" spans="3:7" ht="20.25">
      <c r="C11" s="1" t="s">
        <v>223</v>
      </c>
      <c r="E11" s="78" t="s">
        <v>217</v>
      </c>
      <c r="F11" s="79">
        <v>12000</v>
      </c>
      <c r="G11" s="1" t="s">
        <v>0</v>
      </c>
    </row>
    <row r="12" spans="3:7" ht="20.25">
      <c r="C12" s="1" t="s">
        <v>218</v>
      </c>
      <c r="E12" s="78" t="s">
        <v>219</v>
      </c>
      <c r="F12" s="79">
        <v>24000</v>
      </c>
      <c r="G12" s="1" t="s">
        <v>0</v>
      </c>
    </row>
    <row r="13" spans="3:7" ht="20.25">
      <c r="C13" s="92" t="s">
        <v>85</v>
      </c>
      <c r="D13" s="92"/>
      <c r="E13" s="8" t="s">
        <v>63</v>
      </c>
      <c r="F13" s="7">
        <v>62</v>
      </c>
      <c r="G13" s="1" t="s">
        <v>0</v>
      </c>
    </row>
    <row r="14" spans="3:7" ht="20.25">
      <c r="C14" s="92" t="s">
        <v>86</v>
      </c>
      <c r="D14" s="92"/>
      <c r="E14" s="8" t="s">
        <v>64</v>
      </c>
      <c r="F14" s="10">
        <f>h-a_y</f>
        <v>738</v>
      </c>
      <c r="G14" s="1" t="s">
        <v>0</v>
      </c>
    </row>
    <row r="15" spans="3:7" ht="20.25">
      <c r="C15" s="92" t="s">
        <v>87</v>
      </c>
      <c r="D15" s="92"/>
      <c r="E15" s="8" t="s">
        <v>65</v>
      </c>
      <c r="F15" s="10">
        <v>88</v>
      </c>
    </row>
    <row r="16" spans="3:7" ht="20.25">
      <c r="C16" s="92" t="s">
        <v>88</v>
      </c>
      <c r="D16" s="92"/>
      <c r="E16" s="8" t="s">
        <v>66</v>
      </c>
      <c r="F16" s="10">
        <f>h-a_z</f>
        <v>712</v>
      </c>
    </row>
    <row r="17" spans="3:7" ht="19.5" thickBot="1">
      <c r="C17" s="92" t="s">
        <v>145</v>
      </c>
      <c r="D17" s="92"/>
      <c r="E17" s="53" t="s">
        <v>13</v>
      </c>
      <c r="F17" s="97">
        <f>(d_y+d_z)/2</f>
        <v>725</v>
      </c>
    </row>
    <row r="18" spans="3:7" ht="20.25">
      <c r="C18" s="1" t="s">
        <v>159</v>
      </c>
      <c r="E18" s="15" t="s">
        <v>50</v>
      </c>
      <c r="F18" s="99">
        <v>8.3099999999999993E-2</v>
      </c>
    </row>
    <row r="19" spans="3:7" ht="20.25">
      <c r="C19" s="1" t="s">
        <v>160</v>
      </c>
      <c r="E19" s="8" t="s">
        <v>51</v>
      </c>
      <c r="F19" s="12">
        <v>4.3E-3</v>
      </c>
      <c r="G19" s="1" t="s">
        <v>26</v>
      </c>
    </row>
    <row r="20" spans="3:7" ht="20.25">
      <c r="C20" s="1" t="s">
        <v>161</v>
      </c>
      <c r="E20" s="8" t="s">
        <v>52</v>
      </c>
      <c r="F20" s="12">
        <f>(r_ly*r_lz)^0.5</f>
        <v>1.8903174336602834E-2</v>
      </c>
    </row>
    <row r="21" spans="3:7" ht="19.5" thickBot="1">
      <c r="C21" s="1" t="s">
        <v>239</v>
      </c>
      <c r="E21" s="13" t="s">
        <v>238</v>
      </c>
      <c r="F21" s="101" t="str">
        <f>IF(r_l&lt; 0.02, "OK", "zmniejsz zbrojenie")</f>
        <v>OK</v>
      </c>
    </row>
    <row r="22" spans="3:7">
      <c r="C22" s="1" t="s">
        <v>29</v>
      </c>
      <c r="E22" s="41" t="s">
        <v>23</v>
      </c>
      <c r="F22" s="100">
        <f>0.6*(1-f_ck/250)</f>
        <v>0.52800000000000002</v>
      </c>
    </row>
    <row r="23" spans="3:7" ht="21" thickBot="1">
      <c r="C23" s="1" t="s">
        <v>173</v>
      </c>
      <c r="E23" s="13" t="s">
        <v>55</v>
      </c>
      <c r="F23" s="49">
        <f>0.4*ni*f_cd</f>
        <v>4.5257142857142867</v>
      </c>
      <c r="G23" s="1" t="s">
        <v>26</v>
      </c>
    </row>
    <row r="24" spans="3:7" ht="20.25">
      <c r="C24" s="1" t="s">
        <v>93</v>
      </c>
      <c r="E24" s="15" t="s">
        <v>71</v>
      </c>
      <c r="F24" s="56">
        <v>0.18</v>
      </c>
      <c r="G24" s="1" t="s">
        <v>26</v>
      </c>
    </row>
    <row r="25" spans="3:7" ht="20.25">
      <c r="C25" s="1" t="s">
        <v>94</v>
      </c>
      <c r="E25" s="8" t="s">
        <v>72</v>
      </c>
      <c r="F25" s="20">
        <f>F24/g_c</f>
        <v>0.12857142857142859</v>
      </c>
    </row>
    <row r="26" spans="3:7">
      <c r="C26" s="1" t="s">
        <v>73</v>
      </c>
      <c r="E26" s="8" t="s">
        <v>32</v>
      </c>
      <c r="F26" s="19">
        <f>MIN((1+(200/d)^0.5),2)</f>
        <v>1.5252257314388902</v>
      </c>
    </row>
    <row r="27" spans="3:7" ht="20.25">
      <c r="C27" s="1" t="s">
        <v>92</v>
      </c>
      <c r="E27" s="21" t="s">
        <v>175</v>
      </c>
      <c r="F27" s="20">
        <f>0.035*F26^(3/2)*f_ck^0.5</f>
        <v>0.361101969307077</v>
      </c>
      <c r="G27" s="73" t="s">
        <v>25</v>
      </c>
    </row>
    <row r="28" spans="3:7" ht="20.25">
      <c r="C28" s="1" t="s">
        <v>174</v>
      </c>
      <c r="E28" s="8" t="s">
        <v>202</v>
      </c>
      <c r="F28" s="9">
        <v>0</v>
      </c>
      <c r="G28" s="1" t="s">
        <v>26</v>
      </c>
    </row>
    <row r="29" spans="3:7" ht="21" thickBot="1">
      <c r="C29" s="74"/>
      <c r="D29" s="74"/>
      <c r="E29" s="13" t="s">
        <v>56</v>
      </c>
      <c r="F29" s="57">
        <f>MAX(F25*F26*(100*r_l*f_ck)^(1/3)+F28,F27+F28)</f>
        <v>0.75340863078510434</v>
      </c>
    </row>
    <row r="30" spans="3:7">
      <c r="C30" s="74" t="s">
        <v>216</v>
      </c>
      <c r="D30" s="74"/>
      <c r="E30" s="47"/>
      <c r="F30" s="48"/>
    </row>
    <row r="31" spans="3:7" ht="19.5" thickBot="1">
      <c r="C31" s="1" t="s">
        <v>147</v>
      </c>
      <c r="E31"/>
      <c r="F31"/>
    </row>
    <row r="32" spans="3:7" ht="20.25">
      <c r="C32" s="1" t="s">
        <v>148</v>
      </c>
      <c r="E32" s="4" t="s">
        <v>43</v>
      </c>
      <c r="F32" s="5">
        <v>0</v>
      </c>
      <c r="G32" s="1" t="s">
        <v>7</v>
      </c>
    </row>
    <row r="33" spans="3:7" ht="21" thickBot="1">
      <c r="E33" s="22" t="s">
        <v>44</v>
      </c>
      <c r="F33" s="50">
        <v>0</v>
      </c>
    </row>
    <row r="34" spans="3:7" ht="19.5" thickBot="1">
      <c r="C34" s="27" t="s">
        <v>234</v>
      </c>
      <c r="E34"/>
      <c r="F34"/>
    </row>
    <row r="35" spans="3:7" ht="20.25">
      <c r="C35" s="1" t="s">
        <v>232</v>
      </c>
      <c r="E35" s="4" t="s">
        <v>233</v>
      </c>
      <c r="F35" s="5">
        <v>3500</v>
      </c>
      <c r="G35" s="1" t="s">
        <v>7</v>
      </c>
    </row>
    <row r="36" spans="3:7" ht="20.25">
      <c r="C36" s="1" t="s">
        <v>220</v>
      </c>
      <c r="E36" s="6" t="s">
        <v>225</v>
      </c>
      <c r="F36" s="9">
        <f>MIN((c_y+5*h),F11)</f>
        <v>4700</v>
      </c>
      <c r="G36" s="1" t="s">
        <v>0</v>
      </c>
    </row>
    <row r="37" spans="3:7" ht="20.25">
      <c r="C37" s="1" t="s">
        <v>221</v>
      </c>
      <c r="E37" s="6" t="s">
        <v>226</v>
      </c>
      <c r="F37" s="9">
        <f>MIN((c_z+5*h),F12)</f>
        <v>4250</v>
      </c>
      <c r="G37" s="1" t="s">
        <v>0</v>
      </c>
    </row>
    <row r="38" spans="3:7" ht="22.5" thickBot="1">
      <c r="C38" s="1" t="s">
        <v>231</v>
      </c>
      <c r="E38" s="22" t="s">
        <v>227</v>
      </c>
      <c r="F38" s="84">
        <f>V_Ed_d/F36/F37*1000*1000</f>
        <v>175.21902377972464</v>
      </c>
      <c r="G38" s="1" t="s">
        <v>47</v>
      </c>
    </row>
    <row r="39" spans="3:7">
      <c r="E39" s="83"/>
      <c r="F39" s="81"/>
    </row>
    <row r="40" spans="3:7" ht="19.5" thickBot="1">
      <c r="C40" s="27" t="s">
        <v>101</v>
      </c>
      <c r="E40" s="1"/>
      <c r="F40" s="1"/>
    </row>
    <row r="41" spans="3:7" ht="21" thickBot="1">
      <c r="C41" s="1" t="s">
        <v>100</v>
      </c>
      <c r="E41" s="62" t="s">
        <v>53</v>
      </c>
      <c r="F41" s="63">
        <f>2*(c_y+c_z)</f>
        <v>1900</v>
      </c>
      <c r="G41" s="1" t="s">
        <v>0</v>
      </c>
    </row>
    <row r="42" spans="3:7" ht="21" thickBot="1">
      <c r="E42" s="64" t="s">
        <v>167</v>
      </c>
      <c r="F42" s="104">
        <f>beta*V_Ed_d/d/(h_H+u_0)*1000</f>
        <v>2.9219600725952808</v>
      </c>
      <c r="G42" s="51" t="s">
        <v>26</v>
      </c>
    </row>
    <row r="43" spans="3:7" ht="21" thickBot="1">
      <c r="E43" s="75" t="s">
        <v>183</v>
      </c>
      <c r="F43" s="66" t="str">
        <f>IF(v_Ed_0&lt;F23, "OK", "ŻLE")</f>
        <v>OK</v>
      </c>
    </row>
    <row r="44" spans="3:7" ht="19.5" thickBot="1">
      <c r="C44" s="27" t="s">
        <v>141</v>
      </c>
      <c r="E44" s="83"/>
      <c r="F44" s="30"/>
    </row>
    <row r="45" spans="3:7" ht="20.25">
      <c r="C45" s="1" t="s">
        <v>229</v>
      </c>
      <c r="E45" s="24" t="s">
        <v>142</v>
      </c>
      <c r="F45" s="67">
        <v>870.38817085967094</v>
      </c>
      <c r="G45" s="1" t="s">
        <v>0</v>
      </c>
    </row>
    <row r="46" spans="3:7" ht="21.75">
      <c r="C46" s="1" t="s">
        <v>168</v>
      </c>
      <c r="E46" s="6" t="s">
        <v>97</v>
      </c>
      <c r="F46" s="11">
        <f>(2*(c_y+c_z)*x_max+PI()*x_max^2+c_y*c_z)/100</f>
        <v>42087.313635147184</v>
      </c>
      <c r="G46" s="1" t="s">
        <v>49</v>
      </c>
    </row>
    <row r="47" spans="3:7" ht="20.25">
      <c r="C47" s="1" t="s">
        <v>136</v>
      </c>
      <c r="E47" s="6" t="s">
        <v>129</v>
      </c>
      <c r="F47" s="9">
        <f>F38*F46/100/100</f>
        <v>737.44980086615828</v>
      </c>
      <c r="G47" s="1" t="s">
        <v>7</v>
      </c>
    </row>
    <row r="48" spans="3:7" ht="20.25">
      <c r="C48" s="1" t="s">
        <v>137</v>
      </c>
      <c r="E48" s="6" t="s">
        <v>172</v>
      </c>
      <c r="F48" s="9">
        <f>V_Ed_d-F47</f>
        <v>2762.5501991338415</v>
      </c>
      <c r="G48" s="1" t="s">
        <v>7</v>
      </c>
    </row>
    <row r="49" spans="3:7" ht="20.25">
      <c r="C49" s="1" t="s">
        <v>176</v>
      </c>
      <c r="E49" s="6" t="s">
        <v>99</v>
      </c>
      <c r="F49" s="11">
        <f>2*(c_y+c_z+PI()*x_max)</f>
        <v>7368.8101666883995</v>
      </c>
      <c r="G49" s="1" t="s">
        <v>0</v>
      </c>
    </row>
    <row r="50" spans="3:7">
      <c r="C50" s="1" t="s">
        <v>135</v>
      </c>
      <c r="E50" s="6" t="s">
        <v>134</v>
      </c>
      <c r="F50" s="20">
        <f>beta*V_Ed_d/(d*F49)*1000</f>
        <v>0.75340848961319107</v>
      </c>
      <c r="G50" s="1" t="s">
        <v>91</v>
      </c>
    </row>
    <row r="51" spans="3:7" ht="19.5" thickBot="1">
      <c r="C51" s="23" t="s">
        <v>166</v>
      </c>
      <c r="D51" s="3"/>
      <c r="E51" s="22" t="s">
        <v>235</v>
      </c>
      <c r="F51" s="26">
        <f>F50/F29</f>
        <v>0.9999998126223838</v>
      </c>
      <c r="G51" s="52"/>
    </row>
    <row r="52" spans="3:7" ht="19.5" thickBot="1">
      <c r="E52" s="46" t="s">
        <v>177</v>
      </c>
      <c r="F52" s="60" t="str">
        <f>IF(x_max&gt;2*d, "2d", "xmax")</f>
        <v>xmax</v>
      </c>
      <c r="G52"/>
    </row>
    <row r="53" spans="3:7">
      <c r="C53"/>
      <c r="D53"/>
      <c r="E53"/>
      <c r="F53"/>
      <c r="G53" s="1" t="s">
        <v>275</v>
      </c>
    </row>
    <row r="54" spans="3:7">
      <c r="E54" s="1"/>
      <c r="F54" s="1"/>
    </row>
    <row r="55" spans="3:7">
      <c r="E55" s="1"/>
      <c r="F55" s="1"/>
    </row>
    <row r="56" spans="3:7">
      <c r="E56" s="1"/>
      <c r="F56" s="1"/>
    </row>
    <row r="57" spans="3:7">
      <c r="E57" s="1"/>
      <c r="F57" s="1"/>
    </row>
    <row r="58" spans="3:7">
      <c r="E58" s="1"/>
      <c r="F58" s="1"/>
    </row>
  </sheetData>
  <mergeCells count="12">
    <mergeCell ref="C10:D10"/>
    <mergeCell ref="C13:D13"/>
    <mergeCell ref="C14:D14"/>
    <mergeCell ref="C15:D15"/>
    <mergeCell ref="C16:D16"/>
    <mergeCell ref="C17:D17"/>
    <mergeCell ref="C2:G2"/>
    <mergeCell ref="C4:D4"/>
    <mergeCell ref="C5:D5"/>
    <mergeCell ref="C6:D6"/>
    <mergeCell ref="C7:D7"/>
    <mergeCell ref="C9:D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170</vt:i4>
      </vt:variant>
    </vt:vector>
  </HeadingPairs>
  <TitlesOfParts>
    <vt:vector size="176" baseType="lpstr">
      <vt:lpstr>1. Prosto - wewn</vt:lpstr>
      <vt:lpstr>2. Brzegowe</vt:lpstr>
      <vt:lpstr>3 Okrągły z głowicą</vt:lpstr>
      <vt:lpstr>4. Otwory</vt:lpstr>
      <vt:lpstr>5 Stopa fundamentowa</vt:lpstr>
      <vt:lpstr>6 Płyta fundamentowa</vt:lpstr>
      <vt:lpstr>'4. Otwory'!_k</vt:lpstr>
      <vt:lpstr>'3 Okrągły z głowicą'!a</vt:lpstr>
      <vt:lpstr>'3 Okrągły z głowicą'!A_sy</vt:lpstr>
      <vt:lpstr>'3 Okrągły z głowicą'!A_sz</vt:lpstr>
      <vt:lpstr>'1. Prosto - wewn'!a_y</vt:lpstr>
      <vt:lpstr>'2. Brzegowe'!a_y</vt:lpstr>
      <vt:lpstr>'5 Stopa fundamentowa'!a_y</vt:lpstr>
      <vt:lpstr>'6 Płyta fundamentowa'!a_y</vt:lpstr>
      <vt:lpstr>'2. Brzegowe'!a_z</vt:lpstr>
      <vt:lpstr>'5 Stopa fundamentowa'!a_z</vt:lpstr>
      <vt:lpstr>'6 Płyta fundamentowa'!a_z</vt:lpstr>
      <vt:lpstr>a_z</vt:lpstr>
      <vt:lpstr>'1. Prosto - wewn'!beta</vt:lpstr>
      <vt:lpstr>'3 Okrągły z głowicą'!beta</vt:lpstr>
      <vt:lpstr>'4. Otwory'!beta</vt:lpstr>
      <vt:lpstr>'5 Stopa fundamentowa'!beta</vt:lpstr>
      <vt:lpstr>'6 Płyta fundamentowa'!beta</vt:lpstr>
      <vt:lpstr>beta_N</vt:lpstr>
      <vt:lpstr>'4. Otwory'!C_Rdc</vt:lpstr>
      <vt:lpstr>'1. Prosto - wewn'!c_y</vt:lpstr>
      <vt:lpstr>'2. Brzegowe'!c_y</vt:lpstr>
      <vt:lpstr>'4. Otwory'!c_y</vt:lpstr>
      <vt:lpstr>'5 Stopa fundamentowa'!c_y</vt:lpstr>
      <vt:lpstr>'6 Płyta fundamentowa'!c_y</vt:lpstr>
      <vt:lpstr>'1. Prosto - wewn'!c_z</vt:lpstr>
      <vt:lpstr>'2. Brzegowe'!c_z</vt:lpstr>
      <vt:lpstr>'4. Otwory'!c_z</vt:lpstr>
      <vt:lpstr>'5 Stopa fundamentowa'!c_z</vt:lpstr>
      <vt:lpstr>'6 Płyta fundamentowa'!c_z</vt:lpstr>
      <vt:lpstr>'1. Prosto - wewn'!d</vt:lpstr>
      <vt:lpstr>'2. Brzegowe'!d</vt:lpstr>
      <vt:lpstr>'3 Okrągły z głowicą'!d</vt:lpstr>
      <vt:lpstr>'4. Otwory'!d</vt:lpstr>
      <vt:lpstr>'5 Stopa fundamentowa'!d</vt:lpstr>
      <vt:lpstr>'6 Płyta fundamentowa'!d</vt:lpstr>
      <vt:lpstr>'1. Prosto - wewn'!d_y</vt:lpstr>
      <vt:lpstr>'2. Brzegowe'!d_y</vt:lpstr>
      <vt:lpstr>'5 Stopa fundamentowa'!d_y</vt:lpstr>
      <vt:lpstr>'6 Płyta fundamentowa'!d_y</vt:lpstr>
      <vt:lpstr>'1. Prosto - wewn'!d_z</vt:lpstr>
      <vt:lpstr>'2. Brzegowe'!d_z</vt:lpstr>
      <vt:lpstr>'5 Stopa fundamentowa'!d_z</vt:lpstr>
      <vt:lpstr>'6 Płyta fundamentowa'!d_z</vt:lpstr>
      <vt:lpstr>'1. Prosto - wewn'!f_cd</vt:lpstr>
      <vt:lpstr>'2. Brzegowe'!f_cd</vt:lpstr>
      <vt:lpstr>'3 Okrągły z głowicą'!f_cd</vt:lpstr>
      <vt:lpstr>'4. Otwory'!f_cd</vt:lpstr>
      <vt:lpstr>'5 Stopa fundamentowa'!f_cd</vt:lpstr>
      <vt:lpstr>'6 Płyta fundamentowa'!f_cd</vt:lpstr>
      <vt:lpstr>'1. Prosto - wewn'!f_ck</vt:lpstr>
      <vt:lpstr>'2. Brzegowe'!f_ck</vt:lpstr>
      <vt:lpstr>'3 Okrągły z głowicą'!f_ck</vt:lpstr>
      <vt:lpstr>'4. Otwory'!f_ck</vt:lpstr>
      <vt:lpstr>'5 Stopa fundamentowa'!f_ck</vt:lpstr>
      <vt:lpstr>'6 Płyta fundamentowa'!f_ck</vt:lpstr>
      <vt:lpstr>'1. Prosto - wewn'!f_yk</vt:lpstr>
      <vt:lpstr>'1. Prosto - wewn'!fyd</vt:lpstr>
      <vt:lpstr>'1. Prosto - wewn'!g_c</vt:lpstr>
      <vt:lpstr>'2. Brzegowe'!g_c</vt:lpstr>
      <vt:lpstr>'3 Okrągły z głowicą'!g_c</vt:lpstr>
      <vt:lpstr>'4. Otwory'!g_c</vt:lpstr>
      <vt:lpstr>'5 Stopa fundamentowa'!g_c</vt:lpstr>
      <vt:lpstr>'6 Płyta fundamentowa'!g_c</vt:lpstr>
      <vt:lpstr>'1. Prosto - wewn'!g_G</vt:lpstr>
      <vt:lpstr>'2. Brzegowe'!g_G</vt:lpstr>
      <vt:lpstr>'1. Prosto - wewn'!G_k</vt:lpstr>
      <vt:lpstr>'2. Brzegowe'!G_k</vt:lpstr>
      <vt:lpstr>'1. Prosto - wewn'!g_Q</vt:lpstr>
      <vt:lpstr>'2. Brzegowe'!g_Q</vt:lpstr>
      <vt:lpstr>'1. Prosto - wewn'!g_s</vt:lpstr>
      <vt:lpstr>'2. Brzegowe'!Gk</vt:lpstr>
      <vt:lpstr>Gk</vt:lpstr>
      <vt:lpstr>'1. Prosto - wewn'!h</vt:lpstr>
      <vt:lpstr>'2. Brzegowe'!h</vt:lpstr>
      <vt:lpstr>'3 Okrągły z głowicą'!h</vt:lpstr>
      <vt:lpstr>'5 Stopa fundamentowa'!h</vt:lpstr>
      <vt:lpstr>'6 Płyta fundamentowa'!h</vt:lpstr>
      <vt:lpstr>'6 Płyta fundamentowa'!h_f</vt:lpstr>
      <vt:lpstr>h_f</vt:lpstr>
      <vt:lpstr>'1. Prosto - wewn'!h_H</vt:lpstr>
      <vt:lpstr>'3 Okrągły z głowicą'!h_H</vt:lpstr>
      <vt:lpstr>'5 Stopa fundamentowa'!h_H</vt:lpstr>
      <vt:lpstr>'6 Płyta fundamentowa'!h_H</vt:lpstr>
      <vt:lpstr>'1. Prosto - wewn'!l_H</vt:lpstr>
      <vt:lpstr>'3 Okrągły z głowicą'!l_H</vt:lpstr>
      <vt:lpstr>'5 Stopa fundamentowa'!l_H</vt:lpstr>
      <vt:lpstr>'6 Płyta fundamentowa'!l_H</vt:lpstr>
      <vt:lpstr>'1. Prosto - wewn'!n_max</vt:lpstr>
      <vt:lpstr>'2. Brzegowe'!n_max</vt:lpstr>
      <vt:lpstr>'5 Stopa fundamentowa'!n_max</vt:lpstr>
      <vt:lpstr>'6 Płyta fundamentowa'!n_max</vt:lpstr>
      <vt:lpstr>'1. Prosto - wewn'!ni</vt:lpstr>
      <vt:lpstr>'2. Brzegowe'!ni</vt:lpstr>
      <vt:lpstr>'4. Otwory'!ni</vt:lpstr>
      <vt:lpstr>'5 Stopa fundamentowa'!ni</vt:lpstr>
      <vt:lpstr>'6 Płyta fundamentowa'!ni</vt:lpstr>
      <vt:lpstr>'1. Prosto - wewn'!ni_min</vt:lpstr>
      <vt:lpstr>'4. Otwory'!ni_min</vt:lpstr>
      <vt:lpstr>ø</vt:lpstr>
      <vt:lpstr>'1. Prosto - wewn'!psi_p</vt:lpstr>
      <vt:lpstr>'2. Brzegowe'!psi_p</vt:lpstr>
      <vt:lpstr>'1. Prosto - wewn'!psi_u</vt:lpstr>
      <vt:lpstr>'2. Brzegowe'!psi_u</vt:lpstr>
      <vt:lpstr>'1. Prosto - wewn'!Q_d</vt:lpstr>
      <vt:lpstr>'2. Brzegowe'!Q_d</vt:lpstr>
      <vt:lpstr>'1. Prosto - wewn'!Q_kp</vt:lpstr>
      <vt:lpstr>'2. Brzegowe'!Q_kp</vt:lpstr>
      <vt:lpstr>'1. Prosto - wewn'!Q_kś</vt:lpstr>
      <vt:lpstr>'2. Brzegowe'!Q_kś</vt:lpstr>
      <vt:lpstr>'1. Prosto - wewn'!Q_ku</vt:lpstr>
      <vt:lpstr>'2. Brzegowe'!Q_ku</vt:lpstr>
      <vt:lpstr>'1. Prosto - wewn'!r_0</vt:lpstr>
      <vt:lpstr>'1. Prosto - wewn'!r_l</vt:lpstr>
      <vt:lpstr>'2. Brzegowe'!r_l</vt:lpstr>
      <vt:lpstr>'3 Okrągły z głowicą'!r_l</vt:lpstr>
      <vt:lpstr>'4. Otwory'!r_l</vt:lpstr>
      <vt:lpstr>'5 Stopa fundamentowa'!r_l</vt:lpstr>
      <vt:lpstr>'6 Płyta fundamentowa'!r_l</vt:lpstr>
      <vt:lpstr>'1. Prosto - wewn'!r_ly</vt:lpstr>
      <vt:lpstr>'2. Brzegowe'!r_ly</vt:lpstr>
      <vt:lpstr>'3 Okrągły z głowicą'!r_ly</vt:lpstr>
      <vt:lpstr>'5 Stopa fundamentowa'!r_ly</vt:lpstr>
      <vt:lpstr>'6 Płyta fundamentowa'!r_ly</vt:lpstr>
      <vt:lpstr>'1. Prosto - wewn'!r_lz</vt:lpstr>
      <vt:lpstr>'2. Brzegowe'!r_lz</vt:lpstr>
      <vt:lpstr>'3 Okrągły z głowicą'!r_lz</vt:lpstr>
      <vt:lpstr>'5 Stopa fundamentowa'!r_lz</vt:lpstr>
      <vt:lpstr>'6 Płyta fundamentowa'!r_lz</vt:lpstr>
      <vt:lpstr>'1. Prosto - wewn'!r_s</vt:lpstr>
      <vt:lpstr>'1. Prosto - wewn'!s_r</vt:lpstr>
      <vt:lpstr>'1. Prosto - wewn'!s_t</vt:lpstr>
      <vt:lpstr>'1. Prosto - wewn'!u_0</vt:lpstr>
      <vt:lpstr>'2. Brzegowe'!u_0</vt:lpstr>
      <vt:lpstr>'5 Stopa fundamentowa'!u_0</vt:lpstr>
      <vt:lpstr>'6 Płyta fundamentowa'!u_0</vt:lpstr>
      <vt:lpstr>'1. Prosto - wewn'!u_1</vt:lpstr>
      <vt:lpstr>'2. Brzegowe'!u_1</vt:lpstr>
      <vt:lpstr>'3 Okrągły z głowicą'!u_1</vt:lpstr>
      <vt:lpstr>'1. Prosto - wewn'!v_Ed_0</vt:lpstr>
      <vt:lpstr>'2. Brzegowe'!v_Ed_0</vt:lpstr>
      <vt:lpstr>'4. Otwory'!v_Ed_0</vt:lpstr>
      <vt:lpstr>'5 Stopa fundamentowa'!v_Ed_0</vt:lpstr>
      <vt:lpstr>'6 Płyta fundamentowa'!v_Ed_0</vt:lpstr>
      <vt:lpstr>'1. Prosto - wewn'!v_Ed_1</vt:lpstr>
      <vt:lpstr>'2. Brzegowe'!v_Ed_1</vt:lpstr>
      <vt:lpstr>v_Ed_1</vt:lpstr>
      <vt:lpstr>'3 Okrągły z głowicą'!V_ED_d</vt:lpstr>
      <vt:lpstr>'4. Otwory'!V_Ed_d</vt:lpstr>
      <vt:lpstr>'5 Stopa fundamentowa'!V_Ed_d</vt:lpstr>
      <vt:lpstr>'6 Płyta fundamentowa'!V_Ed_d</vt:lpstr>
      <vt:lpstr>V_Ed_d</vt:lpstr>
      <vt:lpstr>'1. Prosto - wewn'!V_Ed_g</vt:lpstr>
      <vt:lpstr>'3 Okrągły z głowicą'!V_Ed_g</vt:lpstr>
      <vt:lpstr>'1. Prosto - wewn'!V_Ed_red</vt:lpstr>
      <vt:lpstr>'2. Brzegowe'!V_Ed_red</vt:lpstr>
      <vt:lpstr>'3 Okrągły z głowicą'!V_Ed_red</vt:lpstr>
      <vt:lpstr>'3 Okrągły z głowicą'!V_q</vt:lpstr>
      <vt:lpstr>'1. Prosto - wewn'!v_Rdc</vt:lpstr>
      <vt:lpstr>'2. Brzegowe'!v_Rdc</vt:lpstr>
      <vt:lpstr>'5 Stopa fundamentowa'!v_Rdc</vt:lpstr>
      <vt:lpstr>'6 Płyta fundamentowa'!v_Rdc</vt:lpstr>
      <vt:lpstr>'1. Prosto - wewn'!x_1</vt:lpstr>
      <vt:lpstr>'2. Brzegowe'!x_1</vt:lpstr>
      <vt:lpstr>'4. Otwory'!x_1</vt:lpstr>
      <vt:lpstr>'6 Płyta fundamentowa'!x_1max</vt:lpstr>
      <vt:lpstr>x_1max</vt:lpstr>
      <vt:lpstr>'1. Prosto - wewn'!x_max</vt:lpstr>
      <vt:lpstr>'2. Brzegowe'!x_max</vt:lpstr>
      <vt:lpstr>'5 Stopa fundamentowa'!x_max</vt:lpstr>
      <vt:lpstr>'6 Płyta fundamentowa'!x_max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2018-07-02T20:41:34Z</dcterms:created>
  <dcterms:modified xsi:type="dcterms:W3CDTF">2018-07-15T19:51:57Z</dcterms:modified>
</cp:coreProperties>
</file>