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4488" windowWidth="12396" windowHeight="4488" activeTab="0"/>
  </bookViews>
  <sheets>
    <sheet name="Kalkulator" sheetId="1" r:id="rId1"/>
    <sheet name="Oblicz" sheetId="2" r:id="rId2"/>
    <sheet name="Uwaga" sheetId="3" r:id="rId3"/>
    <sheet name="Robol" sheetId="4" r:id="rId4"/>
  </sheets>
  <definedNames>
    <definedName name="a_cl">'Oblicz'!$J$10</definedName>
    <definedName name="a_cu">'Oblicz'!$J$8</definedName>
    <definedName name="A_sc">'Kalkulator'!$E$19</definedName>
    <definedName name="A_smaxB">'Oblicz'!$AO$7</definedName>
    <definedName name="A_smaxP">'Oblicz'!$AO$9</definedName>
    <definedName name="A_smaxS">'Oblicz'!$AO$10</definedName>
    <definedName name="A_smaxSC">'Oblicz'!$AO$11</definedName>
    <definedName name="A_smaxŚ">'Oblicz'!$AO$11</definedName>
    <definedName name="A_sminB">'Oblicz'!$AI$7</definedName>
    <definedName name="A_sminP">'Oblicz'!$AI$9</definedName>
    <definedName name="A_sminS">'Oblicz'!$AI$10</definedName>
    <definedName name="A_sminSC">'Oblicz'!$AI$11</definedName>
    <definedName name="A_sminŚ">'Oblicz'!$AI$11</definedName>
    <definedName name="A_st">'Kalkulator'!$E$20</definedName>
    <definedName name="A_su">'Kalkulator'!$E$19</definedName>
    <definedName name="a_tl">'Oblicz'!$M$10</definedName>
    <definedName name="a_tu">'Oblicz'!$M$8</definedName>
    <definedName name="b">'Kalkulator'!$C$15</definedName>
    <definedName name="beta1">'Oblicz'!$Q$8</definedName>
    <definedName name="beta2">'Oblicz'!$Q$9</definedName>
    <definedName name="beta3">'Oblicz'!$Q$10</definedName>
    <definedName name="beta4">'Oblicz'!$Q$11</definedName>
    <definedName name="c_l">'Kalkulator'!$F$15</definedName>
    <definedName name="c_r">'Kalkulator'!$F$16</definedName>
    <definedName name="c_u">'Kalkulator'!$F$14</definedName>
    <definedName name="d_0">'Oblicz'!$K$6</definedName>
    <definedName name="d_cl">'Oblicz'!$J$11</definedName>
    <definedName name="d_cu">'Oblicz'!$J$9</definedName>
    <definedName name="d_tl">'Oblicz'!$M$11</definedName>
    <definedName name="d_tu">'Oblicz'!$M$9</definedName>
    <definedName name="Dx_1">'Oblicz'!$P$13</definedName>
    <definedName name="Dx_2">'Oblicz'!$BB$13</definedName>
    <definedName name="e_c2">'Oblicz'!$E$8</definedName>
    <definedName name="E_cu">'Oblicz'!$V$8</definedName>
    <definedName name="e_cu2">'Oblicz'!$E$12</definedName>
    <definedName name="E_s">'Oblicz'!$E$11</definedName>
    <definedName name="e_ud">'Oblicz'!$W$11</definedName>
    <definedName name="e_yd">'Oblicz'!$W$10</definedName>
    <definedName name="F_cA">'Oblicz'!$N$12</definedName>
    <definedName name="f_cd">'Oblicz'!$E$6</definedName>
    <definedName name="f_ck">'Kalkulator'!$C$10</definedName>
    <definedName name="f_ctm">'Oblicz'!$AB$6</definedName>
    <definedName name="F_l">'Kalkulator'!$C$20</definedName>
    <definedName name="F_u">'Kalkulator'!$C$19</definedName>
    <definedName name="f_yd">'Oblicz'!$E$7</definedName>
    <definedName name="f_yk">'Kalkulator'!$C$11</definedName>
    <definedName name="f_ynet">'Oblicz'!$E$9</definedName>
    <definedName name="g_c">'Kalkulator'!$F$10</definedName>
    <definedName name="g_c_L">'Kalkulator'!#REF!</definedName>
    <definedName name="g_s">'Kalkulator'!$F$11</definedName>
    <definedName name="g_s_L">'Kalkulator'!#REF!</definedName>
    <definedName name="h">'Kalkulator'!$C$14</definedName>
    <definedName name="k_s">'Oblicz'!$W$8</definedName>
    <definedName name="klasa">'Kalkulator'!$H$11</definedName>
    <definedName name="N">'Oblicz'!$N$13</definedName>
    <definedName name="N_2">'Oblicz'!$AZ$13</definedName>
    <definedName name="N_Ed1">'Kalkulator'!$E$53</definedName>
    <definedName name="N_Ed2">'Kalkulator'!$I$53</definedName>
    <definedName name="n_l">'Kalkulator'!$D$20</definedName>
    <definedName name="n_u">'Kalkulator'!$D$19</definedName>
    <definedName name="_xlnm.Print_Area" localSheetId="0">'Kalkulator'!$B$2:$K$53</definedName>
    <definedName name="_xlnm.Print_Area" localSheetId="1">'Oblicz'!$B$2:$BI$40</definedName>
    <definedName name="R_s">'Oblicz'!$W$9</definedName>
    <definedName name="Rodzaj_elem">'Robol'!$B$20</definedName>
    <definedName name="S_min">'Oblicz'!$AB$11</definedName>
    <definedName name="s_smax">'Oblicz'!$E$10</definedName>
    <definedName name="x_C">'Oblicz'!$BB$9</definedName>
    <definedName name="x_end">'Oblicz'!$AX$14</definedName>
    <definedName name="x_M">'Oblicz'!$BB$8</definedName>
    <definedName name="x_max">'Oblicz'!$BB$11</definedName>
    <definedName name="x_Nmax">'Oblicz'!$BH$14</definedName>
    <definedName name="x_start">'Oblicz'!$I$14</definedName>
    <definedName name="x_T">'Oblicz'!$BB$10</definedName>
  </definedNames>
  <calcPr fullCalcOnLoad="1"/>
</workbook>
</file>

<file path=xl/sharedStrings.xml><?xml version="1.0" encoding="utf-8"?>
<sst xmlns="http://schemas.openxmlformats.org/spreadsheetml/2006/main" count="352" uniqueCount="253">
  <si>
    <t>N/mm²</t>
  </si>
  <si>
    <t>h</t>
  </si>
  <si>
    <t>mm</t>
  </si>
  <si>
    <t>b</t>
  </si>
  <si>
    <t>%</t>
  </si>
  <si>
    <t>N</t>
  </si>
  <si>
    <t>mm²</t>
  </si>
  <si>
    <r>
      <t>g</t>
    </r>
    <r>
      <rPr>
        <sz val="10"/>
        <rFont val="Technical"/>
        <family val="4"/>
      </rPr>
      <t>s</t>
    </r>
  </si>
  <si>
    <r>
      <t>g</t>
    </r>
    <r>
      <rPr>
        <sz val="10"/>
        <rFont val="Technical"/>
        <family val="4"/>
      </rPr>
      <t>c</t>
    </r>
  </si>
  <si>
    <t>Nmax</t>
  </si>
  <si>
    <t>-</t>
  </si>
  <si>
    <r>
      <t xml:space="preserve">First public release. 
 Includes </t>
    </r>
    <r>
      <rPr>
        <sz val="11"/>
        <rFont val="Symbol"/>
        <family val="1"/>
      </rPr>
      <t>b</t>
    </r>
    <r>
      <rPr>
        <sz val="11"/>
        <rFont val="Tekton"/>
        <family val="2"/>
      </rPr>
      <t xml:space="preserve"> version comments</t>
    </r>
  </si>
  <si>
    <t>RCC12 v1.0</t>
  </si>
  <si>
    <r>
      <t>All advice or information from the British Cement Association and/or Reinforced Concrete Council is intended for those who will evaluate the significance and limitations of its contents and take responsibility for its use and application.  No liability (including that for negligence) for any loss resulting from such advice or information is accepted by the BCA, RCC or their subcontractors, suppliers or advisors.  Users should note that all BCA software and publications are subject to revision from time to time and should therefore ensure that they are in possession of the latest version.
This spreadsheet should be used in compliance with the accompanying publication '</t>
    </r>
    <r>
      <rPr>
        <i/>
        <sz val="11"/>
        <rFont val="Tekton"/>
        <family val="2"/>
      </rPr>
      <t>Spreadsheets for concrete design to BS 8110 &amp; EC2'</t>
    </r>
    <r>
      <rPr>
        <sz val="11"/>
        <rFont val="Tekton"/>
        <family val="2"/>
      </rPr>
      <t xml:space="preserve"> available from British Cement Association, Telford Avenue, Crowthorne, Berkshire RG45 6YS. </t>
    </r>
  </si>
  <si>
    <t>Projekt</t>
  </si>
  <si>
    <r>
      <t>Projektant:</t>
    </r>
    <r>
      <rPr>
        <b/>
        <sz val="11"/>
        <color indexed="12"/>
        <rFont val="Gill Sans"/>
        <family val="0"/>
      </rPr>
      <t xml:space="preserve"> </t>
    </r>
    <r>
      <rPr>
        <b/>
        <sz val="10"/>
        <color indexed="12"/>
        <rFont val="Gill Sans"/>
        <family val="0"/>
      </rPr>
      <t>Chodor-Projekt</t>
    </r>
    <r>
      <rPr>
        <b/>
        <sz val="11"/>
        <color indexed="12"/>
        <rFont val="Gill Sans"/>
        <family val="0"/>
      </rPr>
      <t xml:space="preserve"> </t>
    </r>
    <r>
      <rPr>
        <sz val="10"/>
        <color indexed="12"/>
        <rFont val="Gill Sans"/>
        <family val="0"/>
      </rPr>
      <t>www.chodor-projekt.net</t>
    </r>
  </si>
  <si>
    <t>Klient</t>
  </si>
  <si>
    <t>Opracował</t>
  </si>
  <si>
    <t>Data</t>
  </si>
  <si>
    <t>Strona</t>
  </si>
  <si>
    <t>Lokalizacja</t>
  </si>
  <si>
    <t>LCH</t>
  </si>
  <si>
    <t>Zlecenie</t>
  </si>
  <si>
    <t>MK</t>
  </si>
  <si>
    <t>MATERIAŁY</t>
  </si>
  <si>
    <r>
      <t>f</t>
    </r>
    <r>
      <rPr>
        <vertAlign val="subscript"/>
        <sz val="12"/>
        <rFont val="Tekton"/>
        <family val="0"/>
      </rPr>
      <t>ck</t>
    </r>
  </si>
  <si>
    <t>PRZEKRÓJ</t>
  </si>
  <si>
    <t>ZBROJENIE</t>
  </si>
  <si>
    <r>
      <t>górne Ø</t>
    </r>
    <r>
      <rPr>
        <vertAlign val="subscript"/>
        <sz val="12"/>
        <rFont val="Tekton"/>
        <family val="0"/>
      </rPr>
      <t>u</t>
    </r>
  </si>
  <si>
    <r>
      <t>dolne Ø</t>
    </r>
    <r>
      <rPr>
        <vertAlign val="subscript"/>
        <sz val="12"/>
        <rFont val="Tekton"/>
        <family val="0"/>
      </rPr>
      <t>l</t>
    </r>
  </si>
  <si>
    <t>Otulenie</t>
  </si>
  <si>
    <r>
      <rPr>
        <sz val="11"/>
        <rFont val="Tekton"/>
        <family val="0"/>
      </rPr>
      <t>górne</t>
    </r>
    <r>
      <rPr>
        <sz val="12"/>
        <rFont val="Tekton"/>
        <family val="2"/>
      </rPr>
      <t xml:space="preserve"> c</t>
    </r>
    <r>
      <rPr>
        <vertAlign val="subscript"/>
        <sz val="12"/>
        <rFont val="Tekton"/>
        <family val="0"/>
      </rPr>
      <t>u</t>
    </r>
  </si>
  <si>
    <r>
      <rPr>
        <sz val="11"/>
        <rFont val="Tekton"/>
        <family val="0"/>
      </rPr>
      <t>dolne</t>
    </r>
    <r>
      <rPr>
        <sz val="12"/>
        <rFont val="Tekton"/>
        <family val="2"/>
      </rPr>
      <t xml:space="preserve"> c</t>
    </r>
    <r>
      <rPr>
        <vertAlign val="subscript"/>
        <sz val="12"/>
        <rFont val="Tekton"/>
        <family val="0"/>
      </rPr>
      <t>l</t>
    </r>
  </si>
  <si>
    <r>
      <rPr>
        <sz val="11"/>
        <rFont val="Tekton"/>
        <family val="0"/>
      </rPr>
      <t>boczne</t>
    </r>
    <r>
      <rPr>
        <sz val="12"/>
        <rFont val="Tekton"/>
        <family val="2"/>
      </rPr>
      <t xml:space="preserve"> c</t>
    </r>
    <r>
      <rPr>
        <vertAlign val="subscript"/>
        <sz val="12"/>
        <rFont val="Tekton"/>
        <family val="0"/>
      </rPr>
      <t>r</t>
    </r>
  </si>
  <si>
    <t>(do pobocznicy pręta)</t>
  </si>
  <si>
    <t>Przypadek</t>
  </si>
  <si>
    <r>
      <t>M</t>
    </r>
    <r>
      <rPr>
        <vertAlign val="subscript"/>
        <sz val="10"/>
        <color indexed="17"/>
        <rFont val="Marker"/>
        <family val="2"/>
      </rPr>
      <t>y</t>
    </r>
  </si>
  <si>
    <t>Pręt Ø</t>
  </si>
  <si>
    <t>Liczba</t>
  </si>
  <si>
    <t>Pole</t>
  </si>
  <si>
    <t>http://chodor-projekt.net/encyclopedia/nowy-algorytm-projektowania-zelbetu/</t>
  </si>
  <si>
    <t>Dźwignie:</t>
  </si>
  <si>
    <t>Graniczne położenia osi obojętnej x w przypadku:</t>
  </si>
  <si>
    <t>czystego zginania (Fc=0)</t>
  </si>
  <si>
    <r>
      <t>x</t>
    </r>
    <r>
      <rPr>
        <vertAlign val="subscript"/>
        <sz val="10"/>
        <rFont val="Arial"/>
        <family val="2"/>
      </rPr>
      <t>M</t>
    </r>
    <r>
      <rPr>
        <sz val="10"/>
        <rFont val="Arial"/>
        <family val="2"/>
      </rPr>
      <t>=(A</t>
    </r>
    <r>
      <rPr>
        <vertAlign val="subscript"/>
        <sz val="10"/>
        <rFont val="Arial"/>
        <family val="2"/>
      </rPr>
      <t>sc</t>
    </r>
    <r>
      <rPr>
        <sz val="10"/>
        <rFont val="Arial"/>
        <family val="2"/>
      </rPr>
      <t>*d</t>
    </r>
    <r>
      <rPr>
        <vertAlign val="subscript"/>
        <sz val="10"/>
        <rFont val="Arial"/>
        <family val="2"/>
      </rPr>
      <t>cu</t>
    </r>
    <r>
      <rPr>
        <sz val="10"/>
        <rFont val="Arial"/>
        <family val="2"/>
      </rPr>
      <t>+A</t>
    </r>
    <r>
      <rPr>
        <vertAlign val="subscript"/>
        <sz val="10"/>
        <rFont val="Arial"/>
        <family val="2"/>
      </rPr>
      <t>st</t>
    </r>
    <r>
      <rPr>
        <sz val="10"/>
        <rFont val="Arial"/>
        <family val="2"/>
      </rPr>
      <t>*d</t>
    </r>
    <r>
      <rPr>
        <vertAlign val="subscript"/>
        <sz val="10"/>
        <rFont val="Arial"/>
        <family val="2"/>
      </rPr>
      <t>tu</t>
    </r>
    <r>
      <rPr>
        <sz val="10"/>
        <rFont val="Arial"/>
        <family val="2"/>
      </rPr>
      <t>)/(A</t>
    </r>
    <r>
      <rPr>
        <vertAlign val="subscript"/>
        <sz val="10"/>
        <rFont val="Arial"/>
        <family val="2"/>
      </rPr>
      <t>sc</t>
    </r>
    <r>
      <rPr>
        <sz val="10"/>
        <rFont val="Arial"/>
        <family val="2"/>
      </rPr>
      <t>+A</t>
    </r>
    <r>
      <rPr>
        <vertAlign val="subscript"/>
        <sz val="10"/>
        <rFont val="Arial"/>
        <family val="2"/>
      </rPr>
      <t>st</t>
    </r>
    <r>
      <rPr>
        <sz val="10"/>
        <rFont val="Arial"/>
        <family val="2"/>
      </rPr>
      <t>)</t>
    </r>
  </si>
  <si>
    <t>pełnego ściskania</t>
  </si>
  <si>
    <t>pełnego rozciągania</t>
  </si>
  <si>
    <r>
      <t>x</t>
    </r>
    <r>
      <rPr>
        <vertAlign val="subscript"/>
        <sz val="10"/>
        <rFont val="Arial"/>
        <family val="2"/>
      </rPr>
      <t>T</t>
    </r>
    <r>
      <rPr>
        <sz val="10"/>
        <rFont val="Arial"/>
        <family val="2"/>
      </rPr>
      <t>=min{f</t>
    </r>
    <r>
      <rPr>
        <vertAlign val="subscript"/>
        <sz val="10"/>
        <rFont val="Arial"/>
        <family val="2"/>
      </rPr>
      <t>yd</t>
    </r>
    <r>
      <rPr>
        <sz val="10"/>
        <rFont val="Arial"/>
        <family val="2"/>
      </rPr>
      <t>*A</t>
    </r>
    <r>
      <rPr>
        <vertAlign val="subscript"/>
        <sz val="10"/>
        <rFont val="Arial"/>
        <family val="2"/>
      </rPr>
      <t>sc</t>
    </r>
    <r>
      <rPr>
        <sz val="10"/>
        <rFont val="Arial"/>
        <family val="2"/>
      </rPr>
      <t>/β</t>
    </r>
    <r>
      <rPr>
        <vertAlign val="subscript"/>
        <sz val="10"/>
        <rFont val="Arial"/>
        <family val="2"/>
      </rPr>
      <t xml:space="preserve">4 </t>
    </r>
    <r>
      <rPr>
        <sz val="10"/>
        <rFont val="Arial"/>
        <family val="2"/>
      </rPr>
      <t>; f</t>
    </r>
    <r>
      <rPr>
        <vertAlign val="subscript"/>
        <sz val="10"/>
        <rFont val="Arial"/>
        <family val="2"/>
      </rPr>
      <t>yd</t>
    </r>
    <r>
      <rPr>
        <sz val="10"/>
        <rFont val="Arial"/>
        <family val="2"/>
      </rPr>
      <t>*A</t>
    </r>
    <r>
      <rPr>
        <vertAlign val="subscript"/>
        <sz val="10"/>
        <rFont val="Arial"/>
        <family val="2"/>
      </rPr>
      <t>st</t>
    </r>
    <r>
      <rPr>
        <sz val="10"/>
        <rFont val="Arial"/>
        <family val="2"/>
      </rPr>
      <t>/β</t>
    </r>
    <r>
      <rPr>
        <vertAlign val="subscript"/>
        <sz val="10"/>
        <rFont val="Arial"/>
        <family val="2"/>
      </rPr>
      <t>3</t>
    </r>
    <r>
      <rPr>
        <sz val="10"/>
        <rFont val="Arial"/>
        <family val="2"/>
      </rPr>
      <t>}/1000</t>
    </r>
  </si>
  <si>
    <r>
      <t>β</t>
    </r>
    <r>
      <rPr>
        <vertAlign val="subscript"/>
        <sz val="12"/>
        <rFont val="Tekton"/>
        <family val="0"/>
      </rPr>
      <t>4</t>
    </r>
    <r>
      <rPr>
        <sz val="12"/>
        <rFont val="Tekton"/>
        <family val="2"/>
      </rPr>
      <t>=1-β</t>
    </r>
    <r>
      <rPr>
        <vertAlign val="subscript"/>
        <sz val="12"/>
        <rFont val="Tekton"/>
        <family val="0"/>
      </rPr>
      <t>3=</t>
    </r>
  </si>
  <si>
    <r>
      <t>a</t>
    </r>
    <r>
      <rPr>
        <vertAlign val="subscript"/>
        <sz val="11"/>
        <rFont val="Tekton"/>
        <family val="0"/>
      </rPr>
      <t>cu</t>
    </r>
    <r>
      <rPr>
        <sz val="11"/>
        <rFont val="Tekton"/>
        <family val="0"/>
      </rPr>
      <t xml:space="preserve"> = c</t>
    </r>
    <r>
      <rPr>
        <vertAlign val="subscript"/>
        <sz val="11"/>
        <rFont val="Tekton"/>
        <family val="2"/>
      </rPr>
      <t>u</t>
    </r>
    <r>
      <rPr>
        <sz val="11"/>
        <rFont val="Tekton"/>
        <family val="2"/>
      </rPr>
      <t>+Ø</t>
    </r>
    <r>
      <rPr>
        <vertAlign val="subscript"/>
        <sz val="11"/>
        <rFont val="Tekton"/>
        <family val="2"/>
      </rPr>
      <t>u</t>
    </r>
    <r>
      <rPr>
        <sz val="11"/>
        <rFont val="Tekton"/>
        <family val="2"/>
      </rPr>
      <t>/2 =</t>
    </r>
  </si>
  <si>
    <r>
      <rPr>
        <sz val="10"/>
        <rFont val="Tekton"/>
        <family val="0"/>
      </rPr>
      <t xml:space="preserve"> lub</t>
    </r>
    <r>
      <rPr>
        <sz val="11"/>
        <rFont val="Tekton"/>
        <family val="2"/>
      </rPr>
      <t xml:space="preserve"> = a</t>
    </r>
    <r>
      <rPr>
        <vertAlign val="subscript"/>
        <sz val="11"/>
        <rFont val="Tekton"/>
        <family val="0"/>
      </rPr>
      <t xml:space="preserve">cl </t>
    </r>
    <r>
      <rPr>
        <sz val="11"/>
        <rFont val="Tekton"/>
        <family val="2"/>
      </rPr>
      <t>= c</t>
    </r>
    <r>
      <rPr>
        <vertAlign val="subscript"/>
        <sz val="11"/>
        <rFont val="Tekton"/>
        <family val="0"/>
      </rPr>
      <t>u</t>
    </r>
    <r>
      <rPr>
        <sz val="11"/>
        <rFont val="Tekton"/>
        <family val="2"/>
      </rPr>
      <t>+Ø</t>
    </r>
    <r>
      <rPr>
        <vertAlign val="subscript"/>
        <sz val="11"/>
        <rFont val="Tekton"/>
        <family val="0"/>
      </rPr>
      <t>l</t>
    </r>
    <r>
      <rPr>
        <sz val="11"/>
        <rFont val="Tekton"/>
        <family val="2"/>
      </rPr>
      <t>/2=</t>
    </r>
  </si>
  <si>
    <r>
      <t>a</t>
    </r>
    <r>
      <rPr>
        <vertAlign val="subscript"/>
        <sz val="11"/>
        <rFont val="Tekton"/>
        <family val="0"/>
      </rPr>
      <t>tu</t>
    </r>
    <r>
      <rPr>
        <sz val="11"/>
        <rFont val="Tekton"/>
        <family val="0"/>
      </rPr>
      <t xml:space="preserve"> = c</t>
    </r>
    <r>
      <rPr>
        <vertAlign val="subscript"/>
        <sz val="11"/>
        <rFont val="Tekton"/>
        <family val="2"/>
      </rPr>
      <t>u</t>
    </r>
    <r>
      <rPr>
        <sz val="11"/>
        <rFont val="Tekton"/>
        <family val="2"/>
      </rPr>
      <t>+Ø</t>
    </r>
    <r>
      <rPr>
        <vertAlign val="subscript"/>
        <sz val="11"/>
        <rFont val="Tekton"/>
        <family val="2"/>
      </rPr>
      <t>u</t>
    </r>
    <r>
      <rPr>
        <sz val="11"/>
        <rFont val="Tekton"/>
        <family val="2"/>
      </rPr>
      <t>/2 =</t>
    </r>
  </si>
  <si>
    <r>
      <t>d</t>
    </r>
    <r>
      <rPr>
        <vertAlign val="subscript"/>
        <sz val="11"/>
        <rFont val="Tekton"/>
        <family val="0"/>
      </rPr>
      <t>tu</t>
    </r>
    <r>
      <rPr>
        <sz val="11"/>
        <rFont val="Tekton"/>
        <family val="0"/>
      </rPr>
      <t xml:space="preserve"> = h-a</t>
    </r>
    <r>
      <rPr>
        <vertAlign val="subscript"/>
        <sz val="11"/>
        <rFont val="Tekton"/>
        <family val="0"/>
      </rPr>
      <t>tu</t>
    </r>
    <r>
      <rPr>
        <sz val="11"/>
        <rFont val="Tekton"/>
        <family val="2"/>
      </rPr>
      <t xml:space="preserve"> =</t>
    </r>
  </si>
  <si>
    <r>
      <rPr>
        <sz val="10"/>
        <rFont val="Tekton"/>
        <family val="0"/>
      </rPr>
      <t xml:space="preserve"> lub</t>
    </r>
    <r>
      <rPr>
        <sz val="11"/>
        <rFont val="Tekton"/>
        <family val="2"/>
      </rPr>
      <t xml:space="preserve"> = a</t>
    </r>
    <r>
      <rPr>
        <vertAlign val="subscript"/>
        <sz val="11"/>
        <rFont val="Tekton"/>
        <family val="0"/>
      </rPr>
      <t xml:space="preserve">tl </t>
    </r>
    <r>
      <rPr>
        <sz val="11"/>
        <rFont val="Tekton"/>
        <family val="2"/>
      </rPr>
      <t>= c</t>
    </r>
    <r>
      <rPr>
        <vertAlign val="subscript"/>
        <sz val="11"/>
        <rFont val="Tekton"/>
        <family val="0"/>
      </rPr>
      <t>l</t>
    </r>
    <r>
      <rPr>
        <sz val="11"/>
        <rFont val="Tekton"/>
        <family val="2"/>
      </rPr>
      <t>+Ø</t>
    </r>
    <r>
      <rPr>
        <vertAlign val="subscript"/>
        <sz val="11"/>
        <rFont val="Tekton"/>
        <family val="0"/>
      </rPr>
      <t>l</t>
    </r>
    <r>
      <rPr>
        <sz val="11"/>
        <rFont val="Tekton"/>
        <family val="2"/>
      </rPr>
      <t>/2=</t>
    </r>
  </si>
  <si>
    <r>
      <t>d</t>
    </r>
    <r>
      <rPr>
        <vertAlign val="subscript"/>
        <sz val="11"/>
        <rFont val="Tekton"/>
        <family val="0"/>
      </rPr>
      <t>tl</t>
    </r>
    <r>
      <rPr>
        <sz val="11"/>
        <rFont val="Tekton"/>
        <family val="0"/>
      </rPr>
      <t xml:space="preserve"> = h-a</t>
    </r>
    <r>
      <rPr>
        <vertAlign val="subscript"/>
        <sz val="11"/>
        <rFont val="Tekton"/>
        <family val="0"/>
      </rPr>
      <t>tl</t>
    </r>
    <r>
      <rPr>
        <sz val="11"/>
        <rFont val="Tekton"/>
        <family val="2"/>
      </rPr>
      <t xml:space="preserve"> =</t>
    </r>
  </si>
  <si>
    <r>
      <t>f</t>
    </r>
    <r>
      <rPr>
        <vertAlign val="subscript"/>
        <sz val="12"/>
        <rFont val="Tekton"/>
        <family val="0"/>
      </rPr>
      <t>yk</t>
    </r>
  </si>
  <si>
    <r>
      <t>d</t>
    </r>
    <r>
      <rPr>
        <vertAlign val="subscript"/>
        <sz val="11"/>
        <rFont val="Tekton"/>
        <family val="0"/>
      </rPr>
      <t>cu</t>
    </r>
    <r>
      <rPr>
        <sz val="11"/>
        <rFont val="Tekton"/>
        <family val="0"/>
      </rPr>
      <t xml:space="preserve"> = a</t>
    </r>
    <r>
      <rPr>
        <vertAlign val="subscript"/>
        <sz val="11"/>
        <rFont val="Tekton"/>
        <family val="0"/>
      </rPr>
      <t>cu</t>
    </r>
    <r>
      <rPr>
        <sz val="11"/>
        <rFont val="Tekton"/>
        <family val="2"/>
      </rPr>
      <t xml:space="preserve"> =</t>
    </r>
  </si>
  <si>
    <r>
      <t>d</t>
    </r>
    <r>
      <rPr>
        <vertAlign val="subscript"/>
        <sz val="11"/>
        <rFont val="Tekton"/>
        <family val="0"/>
      </rPr>
      <t>cl</t>
    </r>
    <r>
      <rPr>
        <sz val="11"/>
        <rFont val="Tekton"/>
        <family val="0"/>
      </rPr>
      <t xml:space="preserve"> = a</t>
    </r>
    <r>
      <rPr>
        <vertAlign val="subscript"/>
        <sz val="11"/>
        <rFont val="Tekton"/>
        <family val="0"/>
      </rPr>
      <t>cl</t>
    </r>
    <r>
      <rPr>
        <sz val="11"/>
        <rFont val="Tekton"/>
        <family val="2"/>
      </rPr>
      <t xml:space="preserve"> =</t>
    </r>
  </si>
  <si>
    <t>Zbrojenie ściskane ( c )</t>
  </si>
  <si>
    <t>Zbrojenie rozciągane ( t )</t>
  </si>
  <si>
    <t>maksymalny</t>
  </si>
  <si>
    <t>N2=</t>
  </si>
  <si>
    <t xml:space="preserve">Przyrost= </t>
  </si>
  <si>
    <t>x=0</t>
  </si>
  <si>
    <r>
      <t>A</t>
    </r>
    <r>
      <rPr>
        <vertAlign val="subscript"/>
        <sz val="12"/>
        <rFont val="Tekton"/>
        <family val="0"/>
      </rPr>
      <t>sc</t>
    </r>
    <r>
      <rPr>
        <sz val="12"/>
        <rFont val="Tekton"/>
        <family val="2"/>
      </rPr>
      <t xml:space="preserve"> =</t>
    </r>
  </si>
  <si>
    <r>
      <t>A</t>
    </r>
    <r>
      <rPr>
        <vertAlign val="subscript"/>
        <sz val="12"/>
        <rFont val="Tekton"/>
        <family val="0"/>
      </rPr>
      <t>st</t>
    </r>
    <r>
      <rPr>
        <sz val="12"/>
        <rFont val="Tekton"/>
        <family val="2"/>
      </rPr>
      <t xml:space="preserve"> =</t>
    </r>
  </si>
  <si>
    <r>
      <t>M</t>
    </r>
    <r>
      <rPr>
        <vertAlign val="subscript"/>
        <sz val="12"/>
        <rFont val="Tekton"/>
        <family val="0"/>
      </rPr>
      <t>Rd</t>
    </r>
  </si>
  <si>
    <t>Min M</t>
  </si>
  <si>
    <r>
      <t>N</t>
    </r>
    <r>
      <rPr>
        <vertAlign val="subscript"/>
        <sz val="12"/>
        <rFont val="Tekton"/>
        <family val="0"/>
      </rPr>
      <t>i+1</t>
    </r>
    <r>
      <rPr>
        <sz val="12"/>
        <rFont val="Tekton"/>
        <family val="2"/>
      </rPr>
      <t>-N</t>
    </r>
    <r>
      <rPr>
        <vertAlign val="subscript"/>
        <sz val="12"/>
        <rFont val="Tekton"/>
        <family val="0"/>
      </rPr>
      <t>i</t>
    </r>
  </si>
  <si>
    <t>Przyrost N</t>
  </si>
  <si>
    <r>
      <t>M</t>
    </r>
    <r>
      <rPr>
        <vertAlign val="subscript"/>
        <sz val="12"/>
        <rFont val="Tekton"/>
        <family val="0"/>
      </rPr>
      <t>i+1</t>
    </r>
    <r>
      <rPr>
        <sz val="12"/>
        <rFont val="Tekton"/>
        <family val="2"/>
      </rPr>
      <t>-M</t>
    </r>
    <r>
      <rPr>
        <vertAlign val="subscript"/>
        <sz val="12"/>
        <rFont val="Tekton"/>
        <family val="0"/>
      </rPr>
      <t>i</t>
    </r>
  </si>
  <si>
    <t>Przyrost M</t>
  </si>
  <si>
    <t>(-)</t>
  </si>
  <si>
    <r>
      <t>N</t>
    </r>
    <r>
      <rPr>
        <vertAlign val="subscript"/>
        <sz val="12"/>
        <rFont val="Tekton"/>
        <family val="0"/>
      </rPr>
      <t>Rd</t>
    </r>
  </si>
  <si>
    <t>kNm</t>
  </si>
  <si>
    <t>kN</t>
  </si>
  <si>
    <t>Znaczniki</t>
  </si>
  <si>
    <t>Nmm</t>
  </si>
  <si>
    <t>Wysokość strefy ściskanej</t>
  </si>
  <si>
    <r>
      <t>f</t>
    </r>
    <r>
      <rPr>
        <vertAlign val="subscript"/>
        <sz val="12"/>
        <rFont val="Arial"/>
        <family val="2"/>
      </rPr>
      <t>cd</t>
    </r>
    <r>
      <rPr>
        <sz val="12"/>
        <rFont val="Arial"/>
        <family val="2"/>
      </rPr>
      <t>=</t>
    </r>
  </si>
  <si>
    <r>
      <t>f</t>
    </r>
    <r>
      <rPr>
        <vertAlign val="subscript"/>
        <sz val="12"/>
        <rFont val="Arial"/>
        <family val="2"/>
      </rPr>
      <t>yd</t>
    </r>
    <r>
      <rPr>
        <sz val="12"/>
        <rFont val="Arial"/>
        <family val="2"/>
      </rPr>
      <t>=</t>
    </r>
  </si>
  <si>
    <r>
      <t>f</t>
    </r>
    <r>
      <rPr>
        <vertAlign val="subscript"/>
        <sz val="12"/>
        <rFont val="Arial"/>
        <family val="2"/>
      </rPr>
      <t>ynet</t>
    </r>
    <r>
      <rPr>
        <sz val="12"/>
        <rFont val="Arial"/>
        <family val="2"/>
      </rPr>
      <t>=</t>
    </r>
  </si>
  <si>
    <r>
      <t>F</t>
    </r>
    <r>
      <rPr>
        <vertAlign val="subscript"/>
        <sz val="12"/>
        <rFont val="Arial"/>
        <family val="2"/>
      </rPr>
      <t>cA</t>
    </r>
    <r>
      <rPr>
        <sz val="12"/>
        <rFont val="Arial"/>
        <family val="2"/>
      </rPr>
      <t>=</t>
    </r>
  </si>
  <si>
    <r>
      <t>f</t>
    </r>
    <r>
      <rPr>
        <vertAlign val="subscript"/>
        <sz val="12"/>
        <rFont val="Arial"/>
        <family val="2"/>
      </rPr>
      <t>ck</t>
    </r>
    <r>
      <rPr>
        <sz val="12"/>
        <rFont val="Arial"/>
        <family val="2"/>
      </rPr>
      <t>/γ</t>
    </r>
    <r>
      <rPr>
        <vertAlign val="subscript"/>
        <sz val="12"/>
        <rFont val="Arial"/>
        <family val="2"/>
      </rPr>
      <t>c</t>
    </r>
    <r>
      <rPr>
        <sz val="12"/>
        <rFont val="Arial"/>
        <family val="2"/>
      </rPr>
      <t xml:space="preserve"> </t>
    </r>
  </si>
  <si>
    <r>
      <t>f</t>
    </r>
    <r>
      <rPr>
        <vertAlign val="subscript"/>
        <sz val="12"/>
        <rFont val="Arial"/>
        <family val="2"/>
      </rPr>
      <t>yk</t>
    </r>
    <r>
      <rPr>
        <sz val="12"/>
        <rFont val="Arial"/>
        <family val="2"/>
      </rPr>
      <t>/γ</t>
    </r>
    <r>
      <rPr>
        <vertAlign val="subscript"/>
        <sz val="12"/>
        <rFont val="Arial"/>
        <family val="2"/>
      </rPr>
      <t>s</t>
    </r>
    <r>
      <rPr>
        <sz val="12"/>
        <rFont val="Arial"/>
        <family val="2"/>
      </rPr>
      <t xml:space="preserve"> </t>
    </r>
  </si>
  <si>
    <r>
      <t>f</t>
    </r>
    <r>
      <rPr>
        <vertAlign val="subscript"/>
        <sz val="12"/>
        <rFont val="Arial"/>
        <family val="2"/>
      </rPr>
      <t xml:space="preserve">yd </t>
    </r>
    <r>
      <rPr>
        <sz val="12"/>
        <rFont val="Arial"/>
        <family val="2"/>
      </rPr>
      <t>- f</t>
    </r>
    <r>
      <rPr>
        <vertAlign val="subscript"/>
        <sz val="12"/>
        <rFont val="Arial"/>
        <family val="2"/>
      </rPr>
      <t>cd</t>
    </r>
  </si>
  <si>
    <r>
      <t>b·h·f</t>
    </r>
    <r>
      <rPr>
        <vertAlign val="subscript"/>
        <sz val="12"/>
        <rFont val="Arial"/>
        <family val="2"/>
      </rPr>
      <t>cd</t>
    </r>
  </si>
  <si>
    <t>wg EC2</t>
  </si>
  <si>
    <r>
      <t>E</t>
    </r>
    <r>
      <rPr>
        <vertAlign val="subscript"/>
        <sz val="12"/>
        <rFont val="Arial"/>
        <family val="2"/>
      </rPr>
      <t>s</t>
    </r>
  </si>
  <si>
    <r>
      <t>ε</t>
    </r>
    <r>
      <rPr>
        <vertAlign val="subscript"/>
        <sz val="12"/>
        <rFont val="Arial"/>
        <family val="2"/>
      </rPr>
      <t>cu2</t>
    </r>
  </si>
  <si>
    <r>
      <t>x</t>
    </r>
    <r>
      <rPr>
        <vertAlign val="subscript"/>
        <sz val="10"/>
        <rFont val="Arial"/>
        <family val="2"/>
      </rPr>
      <t>max</t>
    </r>
    <r>
      <rPr>
        <sz val="10"/>
        <rFont val="Arial"/>
        <family val="2"/>
      </rPr>
      <t>=min{f</t>
    </r>
    <r>
      <rPr>
        <vertAlign val="subscript"/>
        <sz val="10"/>
        <rFont val="Arial"/>
        <family val="2"/>
      </rPr>
      <t>ymax</t>
    </r>
    <r>
      <rPr>
        <sz val="10"/>
        <rFont val="Arial"/>
        <family val="2"/>
      </rPr>
      <t>*d</t>
    </r>
    <r>
      <rPr>
        <vertAlign val="subscript"/>
        <sz val="10"/>
        <rFont val="Arial"/>
        <family val="2"/>
      </rPr>
      <t>tl</t>
    </r>
    <r>
      <rPr>
        <sz val="10"/>
        <rFont val="Arial"/>
        <family val="2"/>
      </rPr>
      <t>/(f</t>
    </r>
    <r>
      <rPr>
        <vertAlign val="subscript"/>
        <sz val="10"/>
        <rFont val="Arial"/>
        <family val="2"/>
      </rPr>
      <t>ymax</t>
    </r>
    <r>
      <rPr>
        <sz val="10"/>
        <rFont val="Arial"/>
        <family val="2"/>
      </rPr>
      <t>-f</t>
    </r>
    <r>
      <rPr>
        <vertAlign val="subscript"/>
        <sz val="10"/>
        <rFont val="Arial"/>
        <family val="2"/>
      </rPr>
      <t>ynet</t>
    </r>
    <r>
      <rPr>
        <sz val="10"/>
        <rFont val="Arial"/>
        <family val="2"/>
      </rPr>
      <t>) ; - f</t>
    </r>
    <r>
      <rPr>
        <vertAlign val="subscript"/>
        <sz val="10"/>
        <rFont val="Arial"/>
        <family val="2"/>
      </rPr>
      <t>ymax</t>
    </r>
    <r>
      <rPr>
        <sz val="10"/>
        <rFont val="Arial"/>
        <family val="2"/>
      </rPr>
      <t xml:space="preserve"> *d</t>
    </r>
    <r>
      <rPr>
        <vertAlign val="subscript"/>
        <sz val="10"/>
        <rFont val="Arial"/>
        <family val="2"/>
      </rPr>
      <t>tl</t>
    </r>
    <r>
      <rPr>
        <sz val="10"/>
        <rFont val="Arial"/>
        <family val="2"/>
      </rPr>
      <t>/β</t>
    </r>
    <r>
      <rPr>
        <vertAlign val="subscript"/>
        <sz val="10"/>
        <rFont val="Arial"/>
        <family val="2"/>
      </rPr>
      <t>1</t>
    </r>
    <r>
      <rPr>
        <sz val="10"/>
        <rFont val="Arial"/>
        <family val="2"/>
      </rPr>
      <t>*f</t>
    </r>
    <r>
      <rPr>
        <vertAlign val="subscript"/>
        <sz val="10"/>
        <rFont val="Arial"/>
        <family val="2"/>
      </rPr>
      <t>ynet</t>
    </r>
    <r>
      <rPr>
        <sz val="10"/>
        <rFont val="Arial"/>
        <family val="2"/>
      </rPr>
      <t xml:space="preserve"> *A</t>
    </r>
    <r>
      <rPr>
        <vertAlign val="subscript"/>
        <sz val="10"/>
        <rFont val="Arial"/>
        <family val="2"/>
      </rPr>
      <t>sc</t>
    </r>
    <r>
      <rPr>
        <sz val="10"/>
        <rFont val="Arial"/>
        <family val="2"/>
      </rPr>
      <t>/A</t>
    </r>
    <r>
      <rPr>
        <vertAlign val="subscript"/>
        <sz val="10"/>
        <rFont val="Arial"/>
        <family val="2"/>
      </rPr>
      <t>st</t>
    </r>
    <r>
      <rPr>
        <sz val="10"/>
        <rFont val="Arial"/>
        <family val="2"/>
      </rPr>
      <t xml:space="preserve"> +f</t>
    </r>
    <r>
      <rPr>
        <vertAlign val="subscript"/>
        <sz val="10"/>
        <rFont val="Arial"/>
        <family val="2"/>
      </rPr>
      <t>cd</t>
    </r>
    <r>
      <rPr>
        <sz val="10"/>
        <rFont val="Arial"/>
        <family val="2"/>
      </rPr>
      <t>-f</t>
    </r>
    <r>
      <rPr>
        <vertAlign val="subscript"/>
        <sz val="10"/>
        <rFont val="Arial"/>
        <family val="2"/>
      </rPr>
      <t>ymax</t>
    </r>
    <r>
      <rPr>
        <sz val="10"/>
        <rFont val="Arial"/>
        <family val="2"/>
      </rPr>
      <t>}</t>
    </r>
  </si>
  <si>
    <t>Wytrz. obl. beton</t>
  </si>
  <si>
    <t>Wytrz. obl. stal</t>
  </si>
  <si>
    <t>Wytrz. obl. reduk. stal</t>
  </si>
  <si>
    <t>Wytrz. max stal</t>
  </si>
  <si>
    <t>Odkszt max beton</t>
  </si>
  <si>
    <t>Nosność przekroju beton</t>
  </si>
  <si>
    <t>Względna wysokość strefy</t>
  </si>
  <si>
    <t>Siła beton (jeśli x&lt;h)</t>
  </si>
  <si>
    <t>Siła beton nadmiar (jeśli x&gt;h)</t>
  </si>
  <si>
    <t>Siła beton</t>
  </si>
  <si>
    <t>Napr. stal rozc., dół</t>
  </si>
  <si>
    <t>Odkszt stal ścisk, góra</t>
  </si>
  <si>
    <t>Odkszt stal rozciąg., dół</t>
  </si>
  <si>
    <t>Siła stal ścisk</t>
  </si>
  <si>
    <t>Siła stal rozc</t>
  </si>
  <si>
    <t>Moment beton  (jeśli x&lt;h)</t>
  </si>
  <si>
    <t>Moment stal ścisk.</t>
  </si>
  <si>
    <t>Moment stal rozc.</t>
  </si>
  <si>
    <t>ΔN =</t>
  </si>
  <si>
    <t>ΔM =</t>
  </si>
  <si>
    <t>Siła beton nieliniowa</t>
  </si>
  <si>
    <t>x :</t>
  </si>
  <si>
    <r>
      <t>d</t>
    </r>
    <r>
      <rPr>
        <vertAlign val="subscript"/>
        <sz val="12"/>
        <rFont val="Tekton"/>
        <family val="0"/>
      </rPr>
      <t>0</t>
    </r>
    <r>
      <rPr>
        <sz val="12"/>
        <rFont val="Tekton"/>
        <family val="2"/>
      </rPr>
      <t xml:space="preserve"> = h/2=</t>
    </r>
  </si>
  <si>
    <r>
      <t>β1=(d</t>
    </r>
    <r>
      <rPr>
        <vertAlign val="subscript"/>
        <sz val="12"/>
        <rFont val="Tekton"/>
        <family val="0"/>
      </rPr>
      <t>0</t>
    </r>
    <r>
      <rPr>
        <sz val="12"/>
        <rFont val="Tekton"/>
        <family val="0"/>
      </rPr>
      <t xml:space="preserve"> - d</t>
    </r>
    <r>
      <rPr>
        <vertAlign val="subscript"/>
        <sz val="12"/>
        <rFont val="Tekton"/>
        <family val="0"/>
      </rPr>
      <t>cu</t>
    </r>
    <r>
      <rPr>
        <sz val="12"/>
        <rFont val="Tekton"/>
        <family val="0"/>
      </rPr>
      <t>)/(d</t>
    </r>
    <r>
      <rPr>
        <vertAlign val="subscript"/>
        <sz val="12"/>
        <rFont val="Tekton"/>
        <family val="0"/>
      </rPr>
      <t>tl</t>
    </r>
    <r>
      <rPr>
        <sz val="12"/>
        <rFont val="Tekton"/>
        <family val="0"/>
      </rPr>
      <t xml:space="preserve"> - d</t>
    </r>
    <r>
      <rPr>
        <vertAlign val="subscript"/>
        <sz val="12"/>
        <rFont val="Tekton"/>
        <family val="0"/>
      </rPr>
      <t>0</t>
    </r>
    <r>
      <rPr>
        <sz val="12"/>
        <rFont val="Tekton"/>
        <family val="0"/>
      </rPr>
      <t>)</t>
    </r>
  </si>
  <si>
    <r>
      <t>β2=(d</t>
    </r>
    <r>
      <rPr>
        <vertAlign val="subscript"/>
        <sz val="12"/>
        <rFont val="Tekton"/>
        <family val="0"/>
      </rPr>
      <t>0</t>
    </r>
    <r>
      <rPr>
        <sz val="12"/>
        <rFont val="Tekton"/>
        <family val="0"/>
      </rPr>
      <t xml:space="preserve"> - d</t>
    </r>
    <r>
      <rPr>
        <vertAlign val="subscript"/>
        <sz val="12"/>
        <rFont val="Tekton"/>
        <family val="0"/>
      </rPr>
      <t>cl</t>
    </r>
    <r>
      <rPr>
        <sz val="12"/>
        <rFont val="Tekton"/>
        <family val="0"/>
      </rPr>
      <t>)/(d</t>
    </r>
    <r>
      <rPr>
        <vertAlign val="subscript"/>
        <sz val="12"/>
        <rFont val="Tekton"/>
        <family val="0"/>
      </rPr>
      <t>tu</t>
    </r>
    <r>
      <rPr>
        <sz val="12"/>
        <rFont val="Tekton"/>
        <family val="0"/>
      </rPr>
      <t xml:space="preserve"> - d</t>
    </r>
    <r>
      <rPr>
        <vertAlign val="subscript"/>
        <sz val="12"/>
        <rFont val="Tekton"/>
        <family val="0"/>
      </rPr>
      <t>0</t>
    </r>
    <r>
      <rPr>
        <sz val="12"/>
        <rFont val="Tekton"/>
        <family val="0"/>
      </rPr>
      <t>)</t>
    </r>
  </si>
  <si>
    <r>
      <t>β3=(d</t>
    </r>
    <r>
      <rPr>
        <vertAlign val="subscript"/>
        <sz val="12"/>
        <rFont val="Tekton"/>
        <family val="0"/>
      </rPr>
      <t>0</t>
    </r>
    <r>
      <rPr>
        <sz val="12"/>
        <rFont val="Tekton"/>
        <family val="0"/>
      </rPr>
      <t xml:space="preserve"> - d</t>
    </r>
    <r>
      <rPr>
        <vertAlign val="subscript"/>
        <sz val="12"/>
        <rFont val="Tekton"/>
        <family val="0"/>
      </rPr>
      <t>cu</t>
    </r>
    <r>
      <rPr>
        <sz val="12"/>
        <rFont val="Tekton"/>
        <family val="0"/>
      </rPr>
      <t>)/(d</t>
    </r>
    <r>
      <rPr>
        <vertAlign val="subscript"/>
        <sz val="12"/>
        <rFont val="Tekton"/>
        <family val="0"/>
      </rPr>
      <t>tl</t>
    </r>
    <r>
      <rPr>
        <sz val="12"/>
        <rFont val="Tekton"/>
        <family val="0"/>
      </rPr>
      <t xml:space="preserve"> - d</t>
    </r>
    <r>
      <rPr>
        <vertAlign val="subscript"/>
        <sz val="12"/>
        <rFont val="Tekton"/>
        <family val="0"/>
      </rPr>
      <t>cu</t>
    </r>
    <r>
      <rPr>
        <sz val="12"/>
        <rFont val="Tekton"/>
        <family val="0"/>
      </rPr>
      <t>)</t>
    </r>
  </si>
  <si>
    <t>Nośność moment</t>
  </si>
  <si>
    <r>
      <t>F</t>
    </r>
    <r>
      <rPr>
        <vertAlign val="subscript"/>
        <sz val="12"/>
        <rFont val="Arial"/>
        <family val="2"/>
      </rPr>
      <t>N</t>
    </r>
  </si>
  <si>
    <t>Zamknięcie wykresu</t>
  </si>
  <si>
    <r>
      <t>10% F</t>
    </r>
    <r>
      <rPr>
        <vertAlign val="subscript"/>
        <sz val="10"/>
        <rFont val="Arial"/>
        <family val="2"/>
      </rPr>
      <t>cA</t>
    </r>
  </si>
  <si>
    <t>SIŁY PRZEKROJOWE</t>
  </si>
  <si>
    <t>obliczeniowe (SGN)</t>
  </si>
  <si>
    <t>co (odstęp)</t>
  </si>
  <si>
    <t>Moment beton nadmiar (jeśli x&gt;h)</t>
  </si>
  <si>
    <t>Moment beton</t>
  </si>
  <si>
    <t xml:space="preserve">Maks naprężenia w stali </t>
  </si>
  <si>
    <r>
      <t>ε</t>
    </r>
    <r>
      <rPr>
        <vertAlign val="subscript"/>
        <sz val="12"/>
        <rFont val="Arial"/>
        <family val="2"/>
      </rPr>
      <t>cu2*</t>
    </r>
    <r>
      <rPr>
        <sz val="12"/>
        <rFont val="Arial"/>
        <family val="2"/>
      </rPr>
      <t>E</t>
    </r>
    <r>
      <rPr>
        <vertAlign val="subscript"/>
        <sz val="12"/>
        <rFont val="Arial"/>
        <family val="2"/>
      </rPr>
      <t>s</t>
    </r>
  </si>
  <si>
    <r>
      <t>σ</t>
    </r>
    <r>
      <rPr>
        <vertAlign val="subscript"/>
        <sz val="12"/>
        <rFont val="Arial"/>
        <family val="2"/>
      </rPr>
      <t>smax</t>
    </r>
    <r>
      <rPr>
        <sz val="12"/>
        <rFont val="Arial"/>
        <family val="2"/>
      </rPr>
      <t>=</t>
    </r>
  </si>
  <si>
    <r>
      <t>x</t>
    </r>
    <r>
      <rPr>
        <vertAlign val="subscript"/>
        <sz val="10"/>
        <rFont val="Arial"/>
        <family val="2"/>
      </rPr>
      <t>C</t>
    </r>
    <r>
      <rPr>
        <sz val="10"/>
        <rFont val="Arial"/>
        <family val="2"/>
      </rPr>
      <t>=d</t>
    </r>
    <r>
      <rPr>
        <vertAlign val="subscript"/>
        <sz val="10"/>
        <rFont val="Arial"/>
        <family val="2"/>
      </rPr>
      <t>tu</t>
    </r>
    <r>
      <rPr>
        <sz val="10"/>
        <rFont val="Arial"/>
        <family val="2"/>
      </rPr>
      <t>/(1-f</t>
    </r>
    <r>
      <rPr>
        <vertAlign val="subscript"/>
        <sz val="10"/>
        <rFont val="Arial"/>
        <family val="2"/>
      </rPr>
      <t>yd</t>
    </r>
    <r>
      <rPr>
        <sz val="10"/>
        <rFont val="Arial"/>
        <family val="2"/>
      </rPr>
      <t>/s</t>
    </r>
    <r>
      <rPr>
        <vertAlign val="subscript"/>
        <sz val="10"/>
        <rFont val="Arial"/>
        <family val="2"/>
      </rPr>
      <t>smax</t>
    </r>
    <r>
      <rPr>
        <sz val="10"/>
        <rFont val="Arial"/>
        <family val="2"/>
      </rPr>
      <t>)</t>
    </r>
  </si>
  <si>
    <t>N1=</t>
  </si>
  <si>
    <r>
      <t>Δx</t>
    </r>
    <r>
      <rPr>
        <vertAlign val="subscript"/>
        <sz val="12"/>
        <rFont val="Tekton"/>
        <family val="0"/>
      </rPr>
      <t>1</t>
    </r>
    <r>
      <rPr>
        <sz val="12"/>
        <rFont val="Tekton"/>
        <family val="2"/>
      </rPr>
      <t xml:space="preserve"> =</t>
    </r>
  </si>
  <si>
    <t>Nośność  siła osiowa</t>
  </si>
  <si>
    <t>na drukarce domyślnej</t>
  </si>
  <si>
    <t>Odkształcenie minimalne stali</t>
  </si>
  <si>
    <r>
      <t>ε</t>
    </r>
    <r>
      <rPr>
        <vertAlign val="subscript"/>
        <sz val="12"/>
        <rFont val="Arial"/>
        <family val="2"/>
      </rPr>
      <t>ud</t>
    </r>
    <r>
      <rPr>
        <sz val="12"/>
        <rFont val="Arial"/>
        <family val="2"/>
      </rPr>
      <t>=</t>
    </r>
  </si>
  <si>
    <t xml:space="preserve">(2,5 lub 5,0 lub 7,5)%/γs </t>
  </si>
  <si>
    <t>Moduł stali ścisk.</t>
  </si>
  <si>
    <t>Model stali</t>
  </si>
  <si>
    <t>współczynnik pochylenia</t>
  </si>
  <si>
    <t>Promień modelu</t>
  </si>
  <si>
    <r>
      <t>k</t>
    </r>
    <r>
      <rPr>
        <vertAlign val="subscript"/>
        <sz val="10"/>
        <rFont val="Arial"/>
        <family val="2"/>
      </rPr>
      <t>s</t>
    </r>
    <r>
      <rPr>
        <sz val="10"/>
        <rFont val="Arial"/>
        <family val="2"/>
      </rPr>
      <t>=(0,05 lub0,08 lub 0,15)</t>
    </r>
  </si>
  <si>
    <t>Odkształcenie plastyczne</t>
  </si>
  <si>
    <r>
      <t>ε</t>
    </r>
    <r>
      <rPr>
        <vertAlign val="subscript"/>
        <sz val="12"/>
        <rFont val="Arial"/>
        <family val="2"/>
      </rPr>
      <t>yd</t>
    </r>
    <r>
      <rPr>
        <sz val="12"/>
        <rFont val="Arial"/>
        <family val="2"/>
      </rPr>
      <t>=</t>
    </r>
  </si>
  <si>
    <r>
      <t>R</t>
    </r>
    <r>
      <rPr>
        <vertAlign val="subscript"/>
        <sz val="10"/>
        <rFont val="Arial"/>
        <family val="2"/>
      </rPr>
      <t>s</t>
    </r>
    <r>
      <rPr>
        <sz val="10"/>
        <rFont val="Arial"/>
        <family val="2"/>
      </rPr>
      <t>=</t>
    </r>
  </si>
  <si>
    <r>
      <t>f</t>
    </r>
    <r>
      <rPr>
        <vertAlign val="subscript"/>
        <sz val="10"/>
        <rFont val="Arial"/>
        <family val="2"/>
      </rPr>
      <t>yd/</t>
    </r>
    <r>
      <rPr>
        <sz val="10"/>
        <rFont val="Arial"/>
        <family val="2"/>
      </rPr>
      <t>E</t>
    </r>
    <r>
      <rPr>
        <vertAlign val="subscript"/>
        <sz val="10"/>
        <rFont val="Arial"/>
        <family val="2"/>
      </rPr>
      <t>s</t>
    </r>
  </si>
  <si>
    <r>
      <t>Wartość bezwględna ε</t>
    </r>
    <r>
      <rPr>
        <vertAlign val="subscript"/>
        <sz val="10"/>
        <rFont val="Arial"/>
        <family val="2"/>
      </rPr>
      <t>sc</t>
    </r>
    <r>
      <rPr>
        <sz val="10"/>
        <rFont val="Arial"/>
        <family val="2"/>
      </rPr>
      <t xml:space="preserve"> </t>
    </r>
  </si>
  <si>
    <t>Napr. beton obok stali ścisk</t>
  </si>
  <si>
    <t>Napr. stal ścisk.</t>
  </si>
  <si>
    <t>= x/h</t>
  </si>
  <si>
    <r>
      <t>= F</t>
    </r>
    <r>
      <rPr>
        <vertAlign val="subscript"/>
        <sz val="12"/>
        <rFont val="Arial"/>
        <family val="2"/>
      </rPr>
      <t>cA</t>
    </r>
    <r>
      <rPr>
        <sz val="12"/>
        <rFont val="Arial"/>
        <family val="2"/>
      </rPr>
      <t>· 17/21·</t>
    </r>
    <r>
      <rPr>
        <u val="single"/>
        <sz val="12"/>
        <rFont val="Arial"/>
        <family val="2"/>
      </rPr>
      <t>x</t>
    </r>
  </si>
  <si>
    <r>
      <t>= F</t>
    </r>
    <r>
      <rPr>
        <vertAlign val="subscript"/>
        <sz val="12"/>
        <rFont val="Arial"/>
        <family val="2"/>
      </rPr>
      <t>N</t>
    </r>
    <r>
      <rPr>
        <sz val="12"/>
        <rFont val="Arial"/>
        <family val="2"/>
      </rPr>
      <t>·(21+20·</t>
    </r>
    <r>
      <rPr>
        <u val="single"/>
        <sz val="12"/>
        <rFont val="Arial"/>
        <family val="2"/>
      </rPr>
      <t>x</t>
    </r>
    <r>
      <rPr>
        <sz val="12"/>
        <rFont val="Arial"/>
        <family val="2"/>
      </rPr>
      <t>)</t>
    </r>
  </si>
  <si>
    <r>
      <t xml:space="preserve">= 7/192(1- </t>
    </r>
    <r>
      <rPr>
        <u val="single"/>
        <sz val="12"/>
        <rFont val="Arial"/>
        <family val="2"/>
      </rPr>
      <t>x</t>
    </r>
    <r>
      <rPr>
        <vertAlign val="superscript"/>
        <sz val="12"/>
        <rFont val="Arial"/>
        <family val="2"/>
      </rPr>
      <t>2</t>
    </r>
    <r>
      <rPr>
        <sz val="12"/>
        <rFont val="Arial"/>
        <family val="2"/>
      </rPr>
      <t>)/</t>
    </r>
    <r>
      <rPr>
        <u val="single"/>
        <sz val="12"/>
        <rFont val="Arial"/>
        <family val="2"/>
      </rPr>
      <t>x</t>
    </r>
    <r>
      <rPr>
        <vertAlign val="superscript"/>
        <sz val="12"/>
        <rFont val="Arial"/>
        <family val="2"/>
      </rPr>
      <t>2</t>
    </r>
    <r>
      <rPr>
        <sz val="12"/>
        <rFont val="Arial"/>
        <family val="2"/>
      </rPr>
      <t>*F</t>
    </r>
    <r>
      <rPr>
        <vertAlign val="subscript"/>
        <sz val="12"/>
        <rFont val="Arial"/>
        <family val="2"/>
      </rPr>
      <t>cA</t>
    </r>
  </si>
  <si>
    <r>
      <t>= F</t>
    </r>
    <r>
      <rPr>
        <vertAlign val="subscript"/>
        <sz val="12"/>
        <rFont val="Arial"/>
        <family val="2"/>
      </rPr>
      <t>c&lt;</t>
    </r>
    <r>
      <rPr>
        <sz val="12"/>
        <rFont val="Arial"/>
        <family val="2"/>
      </rPr>
      <t xml:space="preserve"> - ΔF</t>
    </r>
    <r>
      <rPr>
        <vertAlign val="subscript"/>
        <sz val="12"/>
        <rFont val="Arial"/>
        <family val="2"/>
      </rPr>
      <t>c</t>
    </r>
  </si>
  <si>
    <r>
      <t>=  sgn(x)·ε</t>
    </r>
    <r>
      <rPr>
        <vertAlign val="subscript"/>
        <sz val="12"/>
        <rFont val="Tekton"/>
        <family val="0"/>
      </rPr>
      <t>cu2</t>
    </r>
    <r>
      <rPr>
        <sz val="12"/>
        <rFont val="Tekton"/>
        <family val="2"/>
      </rPr>
      <t>·(x-d</t>
    </r>
    <r>
      <rPr>
        <vertAlign val="subscript"/>
        <sz val="12"/>
        <rFont val="Tekton"/>
        <family val="0"/>
      </rPr>
      <t>cu</t>
    </r>
    <r>
      <rPr>
        <sz val="12"/>
        <rFont val="Tekton"/>
        <family val="2"/>
      </rPr>
      <t>)/x</t>
    </r>
  </si>
  <si>
    <r>
      <t>= [k</t>
    </r>
    <r>
      <rPr>
        <vertAlign val="subscript"/>
        <sz val="12"/>
        <rFont val="Arial"/>
        <family val="2"/>
      </rPr>
      <t>s</t>
    </r>
    <r>
      <rPr>
        <sz val="12"/>
        <rFont val="Arial"/>
        <family val="2"/>
      </rPr>
      <t>+(1-k</t>
    </r>
    <r>
      <rPr>
        <vertAlign val="subscript"/>
        <sz val="12"/>
        <rFont val="Arial"/>
        <family val="2"/>
      </rPr>
      <t>s</t>
    </r>
    <r>
      <rPr>
        <sz val="12"/>
        <rFont val="Arial"/>
        <family val="2"/>
      </rPr>
      <t>)/(1+(ε</t>
    </r>
    <r>
      <rPr>
        <vertAlign val="subscript"/>
        <sz val="12"/>
        <rFont val="Arial"/>
        <family val="2"/>
      </rPr>
      <t>sc</t>
    </r>
    <r>
      <rPr>
        <sz val="12"/>
        <rFont val="Arial"/>
        <family val="2"/>
      </rPr>
      <t>/ε</t>
    </r>
    <r>
      <rPr>
        <vertAlign val="subscript"/>
        <sz val="12"/>
        <rFont val="Arial"/>
        <family val="2"/>
      </rPr>
      <t>yd</t>
    </r>
    <r>
      <rPr>
        <sz val="12"/>
        <rFont val="Arial"/>
        <family val="2"/>
      </rPr>
      <t>)</t>
    </r>
    <r>
      <rPr>
        <vertAlign val="superscript"/>
        <sz val="12"/>
        <rFont val="Arial"/>
        <family val="2"/>
      </rPr>
      <t>Rs</t>
    </r>
    <r>
      <rPr>
        <sz val="12"/>
        <rFont val="Arial"/>
        <family val="2"/>
      </rPr>
      <t>)</t>
    </r>
    <r>
      <rPr>
        <vertAlign val="superscript"/>
        <sz val="12"/>
        <rFont val="Arial"/>
        <family val="2"/>
      </rPr>
      <t>(1/Rs)</t>
    </r>
    <r>
      <rPr>
        <sz val="12"/>
        <rFont val="Arial"/>
        <family val="2"/>
      </rPr>
      <t>]*E</t>
    </r>
    <r>
      <rPr>
        <vertAlign val="subscript"/>
        <sz val="12"/>
        <rFont val="Arial"/>
        <family val="2"/>
      </rPr>
      <t>s</t>
    </r>
  </si>
  <si>
    <r>
      <t>= f</t>
    </r>
    <r>
      <rPr>
        <vertAlign val="subscript"/>
        <sz val="12"/>
        <rFont val="Tekton"/>
        <family val="0"/>
      </rPr>
      <t>cd</t>
    </r>
    <r>
      <rPr>
        <sz val="12"/>
        <rFont val="Tekton"/>
        <family val="0"/>
      </rPr>
      <t xml:space="preserve">*(1- </t>
    </r>
    <r>
      <rPr>
        <sz val="12"/>
        <rFont val="Tekton"/>
        <family val="2"/>
      </rPr>
      <t xml:space="preserve"> jeśli ε</t>
    </r>
    <r>
      <rPr>
        <vertAlign val="subscript"/>
        <sz val="12"/>
        <rFont val="Tekton"/>
        <family val="0"/>
      </rPr>
      <t>sc</t>
    </r>
    <r>
      <rPr>
        <sz val="12"/>
        <rFont val="Tekton"/>
        <family val="2"/>
      </rPr>
      <t>&lt;ε</t>
    </r>
    <r>
      <rPr>
        <vertAlign val="subscript"/>
        <sz val="12"/>
        <rFont val="Tekton"/>
        <family val="0"/>
      </rPr>
      <t>c2</t>
    </r>
    <r>
      <rPr>
        <sz val="12"/>
        <rFont val="Tekton"/>
        <family val="2"/>
      </rPr>
      <t xml:space="preserve"> [1 -(1-ε</t>
    </r>
    <r>
      <rPr>
        <vertAlign val="subscript"/>
        <sz val="12"/>
        <rFont val="Tekton"/>
        <family val="0"/>
      </rPr>
      <t>sc/</t>
    </r>
    <r>
      <rPr>
        <sz val="12"/>
        <rFont val="Tekton"/>
        <family val="2"/>
      </rPr>
      <t>ε</t>
    </r>
    <r>
      <rPr>
        <vertAlign val="subscript"/>
        <sz val="12"/>
        <rFont val="Tekton"/>
        <family val="0"/>
      </rPr>
      <t>c2)</t>
    </r>
    <r>
      <rPr>
        <vertAlign val="superscript"/>
        <sz val="12"/>
        <rFont val="Tekton"/>
        <family val="0"/>
      </rPr>
      <t>2</t>
    </r>
    <r>
      <rPr>
        <sz val="12"/>
        <rFont val="Tekton"/>
        <family val="0"/>
      </rPr>
      <t>])</t>
    </r>
  </si>
  <si>
    <r>
      <t>= E</t>
    </r>
    <r>
      <rPr>
        <vertAlign val="subscript"/>
        <sz val="12"/>
        <rFont val="Arial"/>
        <family val="2"/>
      </rPr>
      <t>sc</t>
    </r>
    <r>
      <rPr>
        <sz val="12"/>
        <rFont val="Arial"/>
        <family val="2"/>
      </rPr>
      <t>*ε</t>
    </r>
    <r>
      <rPr>
        <vertAlign val="subscript"/>
        <sz val="12"/>
        <rFont val="Arial"/>
        <family val="2"/>
      </rPr>
      <t>sc</t>
    </r>
    <r>
      <rPr>
        <sz val="12"/>
        <rFont val="Arial"/>
        <family val="2"/>
      </rPr>
      <t xml:space="preserve"> - σ</t>
    </r>
    <r>
      <rPr>
        <vertAlign val="subscript"/>
        <sz val="12"/>
        <rFont val="Arial"/>
        <family val="2"/>
      </rPr>
      <t>cs</t>
    </r>
  </si>
  <si>
    <r>
      <t>= σ</t>
    </r>
    <r>
      <rPr>
        <vertAlign val="subscript"/>
        <sz val="12"/>
        <rFont val="Arial"/>
        <family val="2"/>
      </rPr>
      <t>sc</t>
    </r>
    <r>
      <rPr>
        <sz val="12"/>
        <rFont val="Arial"/>
        <family val="2"/>
      </rPr>
      <t>·A</t>
    </r>
    <r>
      <rPr>
        <vertAlign val="subscript"/>
        <sz val="12"/>
        <rFont val="Arial"/>
        <family val="2"/>
      </rPr>
      <t>sc</t>
    </r>
  </si>
  <si>
    <r>
      <t>= ε</t>
    </r>
    <r>
      <rPr>
        <vertAlign val="subscript"/>
        <sz val="12"/>
        <rFont val="Tekton"/>
        <family val="0"/>
      </rPr>
      <t>cu2</t>
    </r>
    <r>
      <rPr>
        <sz val="12"/>
        <rFont val="Tekton"/>
        <family val="2"/>
      </rPr>
      <t>·(d</t>
    </r>
    <r>
      <rPr>
        <vertAlign val="subscript"/>
        <sz val="12"/>
        <rFont val="Tekton"/>
        <family val="0"/>
      </rPr>
      <t>tl</t>
    </r>
    <r>
      <rPr>
        <sz val="12"/>
        <rFont val="Tekton"/>
        <family val="2"/>
      </rPr>
      <t>-x)/x</t>
    </r>
  </si>
  <si>
    <r>
      <t>= σ</t>
    </r>
    <r>
      <rPr>
        <vertAlign val="subscript"/>
        <sz val="12"/>
        <rFont val="Arial"/>
        <family val="2"/>
      </rPr>
      <t>st</t>
    </r>
    <r>
      <rPr>
        <sz val="12"/>
        <rFont val="Arial"/>
        <family val="2"/>
      </rPr>
      <t>·A</t>
    </r>
    <r>
      <rPr>
        <vertAlign val="subscript"/>
        <sz val="12"/>
        <rFont val="Arial"/>
        <family val="2"/>
      </rPr>
      <t>st</t>
    </r>
  </si>
  <si>
    <r>
      <t>= F</t>
    </r>
    <r>
      <rPr>
        <vertAlign val="subscript"/>
        <sz val="12"/>
        <rFont val="Arial"/>
        <family val="2"/>
      </rPr>
      <t>cA</t>
    </r>
    <r>
      <rPr>
        <sz val="12"/>
        <rFont val="Arial"/>
        <family val="2"/>
      </rPr>
      <t>·h·(17/42·</t>
    </r>
    <r>
      <rPr>
        <u val="single"/>
        <sz val="12"/>
        <rFont val="Arial"/>
        <family val="2"/>
      </rPr>
      <t>x</t>
    </r>
    <r>
      <rPr>
        <sz val="12"/>
        <rFont val="Arial"/>
        <family val="2"/>
      </rPr>
      <t xml:space="preserve"> - 33/98·</t>
    </r>
    <r>
      <rPr>
        <u val="single"/>
        <sz val="12"/>
        <rFont val="Arial"/>
        <family val="2"/>
      </rPr>
      <t>x</t>
    </r>
    <r>
      <rPr>
        <vertAlign val="superscript"/>
        <sz val="12"/>
        <rFont val="Arial"/>
        <family val="2"/>
      </rPr>
      <t>2</t>
    </r>
    <r>
      <rPr>
        <sz val="12"/>
        <rFont val="Arial"/>
        <family val="2"/>
      </rPr>
      <t>)</t>
    </r>
  </si>
  <si>
    <r>
      <t>= M</t>
    </r>
    <r>
      <rPr>
        <vertAlign val="subscript"/>
        <sz val="12"/>
        <rFont val="Arial"/>
        <family val="2"/>
      </rPr>
      <t>c&lt;</t>
    </r>
    <r>
      <rPr>
        <sz val="12"/>
        <rFont val="Arial"/>
        <family val="2"/>
      </rPr>
      <t xml:space="preserve"> - ΔM</t>
    </r>
    <r>
      <rPr>
        <vertAlign val="subscript"/>
        <sz val="12"/>
        <rFont val="Arial"/>
        <family val="2"/>
      </rPr>
      <t>c</t>
    </r>
  </si>
  <si>
    <r>
      <t>= Fsc*(d</t>
    </r>
    <r>
      <rPr>
        <vertAlign val="subscript"/>
        <sz val="12"/>
        <rFont val="Arial"/>
        <family val="2"/>
      </rPr>
      <t>0</t>
    </r>
    <r>
      <rPr>
        <sz val="12"/>
        <rFont val="Arial"/>
        <family val="2"/>
      </rPr>
      <t>-a</t>
    </r>
    <r>
      <rPr>
        <vertAlign val="subscript"/>
        <sz val="12"/>
        <rFont val="Arial"/>
        <family val="2"/>
      </rPr>
      <t>cu</t>
    </r>
    <r>
      <rPr>
        <sz val="12"/>
        <rFont val="Arial"/>
        <family val="2"/>
      </rPr>
      <t>)</t>
    </r>
  </si>
  <si>
    <r>
      <t>= Fst*(d</t>
    </r>
    <r>
      <rPr>
        <vertAlign val="subscript"/>
        <sz val="12"/>
        <rFont val="Arial"/>
        <family val="2"/>
      </rPr>
      <t>0</t>
    </r>
    <r>
      <rPr>
        <sz val="12"/>
        <rFont val="Arial"/>
        <family val="2"/>
      </rPr>
      <t>-a</t>
    </r>
    <r>
      <rPr>
        <vertAlign val="subscript"/>
        <sz val="12"/>
        <rFont val="Arial"/>
        <family val="2"/>
      </rPr>
      <t>tl</t>
    </r>
    <r>
      <rPr>
        <sz val="12"/>
        <rFont val="Arial"/>
        <family val="2"/>
      </rPr>
      <t>)</t>
    </r>
  </si>
  <si>
    <r>
      <t>= - F</t>
    </r>
    <r>
      <rPr>
        <vertAlign val="subscript"/>
        <sz val="12"/>
        <rFont val="Arial"/>
        <family val="2"/>
      </rPr>
      <t>N</t>
    </r>
    <r>
      <rPr>
        <sz val="12"/>
        <rFont val="Arial"/>
        <family val="2"/>
      </rPr>
      <t>·h·(7+8·</t>
    </r>
    <r>
      <rPr>
        <u val="single"/>
        <sz val="12"/>
        <rFont val="Arial"/>
        <family val="2"/>
      </rPr>
      <t>x</t>
    </r>
    <r>
      <rPr>
        <sz val="12"/>
        <rFont val="Arial"/>
        <family val="2"/>
      </rPr>
      <t>+9·</t>
    </r>
    <r>
      <rPr>
        <u val="single"/>
        <sz val="12"/>
        <rFont val="Arial"/>
        <family val="2"/>
      </rPr>
      <t>x</t>
    </r>
    <r>
      <rPr>
        <vertAlign val="superscript"/>
        <sz val="12"/>
        <rFont val="Arial"/>
        <family val="2"/>
      </rPr>
      <t>2</t>
    </r>
    <r>
      <rPr>
        <sz val="12"/>
        <rFont val="Arial"/>
        <family val="2"/>
      </rPr>
      <t>)</t>
    </r>
  </si>
  <si>
    <r>
      <t>x</t>
    </r>
    <r>
      <rPr>
        <sz val="12"/>
        <rFont val="Arial"/>
        <family val="2"/>
      </rPr>
      <t xml:space="preserve"> </t>
    </r>
  </si>
  <si>
    <r>
      <t>F</t>
    </r>
    <r>
      <rPr>
        <vertAlign val="subscript"/>
        <sz val="12"/>
        <rFont val="Arial"/>
        <family val="2"/>
      </rPr>
      <t xml:space="preserve">c&lt; </t>
    </r>
    <r>
      <rPr>
        <sz val="12"/>
        <rFont val="Arial"/>
        <family val="2"/>
      </rPr>
      <t xml:space="preserve"> </t>
    </r>
  </si>
  <si>
    <r>
      <t>ΔF</t>
    </r>
    <r>
      <rPr>
        <vertAlign val="subscript"/>
        <sz val="12"/>
        <rFont val="Arial"/>
        <family val="2"/>
      </rPr>
      <t>c</t>
    </r>
    <r>
      <rPr>
        <sz val="12"/>
        <rFont val="Arial"/>
        <family val="2"/>
      </rPr>
      <t xml:space="preserve"> </t>
    </r>
  </si>
  <si>
    <r>
      <t>F</t>
    </r>
    <r>
      <rPr>
        <vertAlign val="subscript"/>
        <sz val="12"/>
        <rFont val="Arial"/>
        <family val="2"/>
      </rPr>
      <t xml:space="preserve">c </t>
    </r>
  </si>
  <si>
    <r>
      <t>ε</t>
    </r>
    <r>
      <rPr>
        <vertAlign val="subscript"/>
        <sz val="12"/>
        <rFont val="Arial"/>
        <family val="2"/>
      </rPr>
      <t xml:space="preserve">sc </t>
    </r>
  </si>
  <si>
    <r>
      <t>| ε</t>
    </r>
    <r>
      <rPr>
        <vertAlign val="subscript"/>
        <sz val="12"/>
        <rFont val="Arial"/>
        <family val="2"/>
      </rPr>
      <t xml:space="preserve">sc </t>
    </r>
    <r>
      <rPr>
        <sz val="12"/>
        <rFont val="Arial"/>
        <family val="2"/>
      </rPr>
      <t xml:space="preserve">| </t>
    </r>
  </si>
  <si>
    <r>
      <t>E</t>
    </r>
    <r>
      <rPr>
        <vertAlign val="subscript"/>
        <sz val="12"/>
        <rFont val="Arial"/>
        <family val="2"/>
      </rPr>
      <t>sc</t>
    </r>
  </si>
  <si>
    <r>
      <t>σ</t>
    </r>
    <r>
      <rPr>
        <vertAlign val="subscript"/>
        <sz val="12"/>
        <rFont val="Arial"/>
        <family val="2"/>
      </rPr>
      <t xml:space="preserve">cs </t>
    </r>
  </si>
  <si>
    <r>
      <t>σ</t>
    </r>
    <r>
      <rPr>
        <vertAlign val="subscript"/>
        <sz val="12"/>
        <rFont val="Arial"/>
        <family val="2"/>
      </rPr>
      <t>sc</t>
    </r>
  </si>
  <si>
    <r>
      <t>F</t>
    </r>
    <r>
      <rPr>
        <vertAlign val="subscript"/>
        <sz val="12"/>
        <rFont val="Arial"/>
        <family val="2"/>
      </rPr>
      <t xml:space="preserve">sc </t>
    </r>
  </si>
  <si>
    <r>
      <t>ε</t>
    </r>
    <r>
      <rPr>
        <vertAlign val="subscript"/>
        <sz val="12"/>
        <rFont val="Arial"/>
        <family val="2"/>
      </rPr>
      <t xml:space="preserve">st </t>
    </r>
  </si>
  <si>
    <r>
      <t>σ</t>
    </r>
    <r>
      <rPr>
        <vertAlign val="subscript"/>
        <sz val="12"/>
        <rFont val="Arial"/>
        <family val="2"/>
      </rPr>
      <t xml:space="preserve">st </t>
    </r>
  </si>
  <si>
    <r>
      <t>F</t>
    </r>
    <r>
      <rPr>
        <vertAlign val="subscript"/>
        <sz val="12"/>
        <rFont val="Arial"/>
        <family val="2"/>
      </rPr>
      <t xml:space="preserve">st </t>
    </r>
  </si>
  <si>
    <r>
      <t>M</t>
    </r>
    <r>
      <rPr>
        <vertAlign val="subscript"/>
        <sz val="12"/>
        <rFont val="Arial"/>
        <family val="2"/>
      </rPr>
      <t>c&lt;</t>
    </r>
    <r>
      <rPr>
        <sz val="12"/>
        <rFont val="Arial"/>
        <family val="2"/>
      </rPr>
      <t xml:space="preserve"> </t>
    </r>
  </si>
  <si>
    <r>
      <t>ΔM</t>
    </r>
    <r>
      <rPr>
        <vertAlign val="subscript"/>
        <sz val="12"/>
        <rFont val="Arial"/>
        <family val="2"/>
      </rPr>
      <t>c</t>
    </r>
    <r>
      <rPr>
        <sz val="12"/>
        <rFont val="Arial"/>
        <family val="2"/>
      </rPr>
      <t xml:space="preserve"> </t>
    </r>
  </si>
  <si>
    <r>
      <t>M</t>
    </r>
    <r>
      <rPr>
        <vertAlign val="subscript"/>
        <sz val="12"/>
        <rFont val="Arial"/>
        <family val="2"/>
      </rPr>
      <t>c</t>
    </r>
  </si>
  <si>
    <r>
      <t>M</t>
    </r>
    <r>
      <rPr>
        <vertAlign val="subscript"/>
        <sz val="12"/>
        <rFont val="Arial"/>
        <family val="2"/>
      </rPr>
      <t xml:space="preserve">sc </t>
    </r>
  </si>
  <si>
    <r>
      <t>M</t>
    </r>
    <r>
      <rPr>
        <vertAlign val="subscript"/>
        <sz val="12"/>
        <rFont val="Arial"/>
        <family val="2"/>
      </rPr>
      <t xml:space="preserve">st </t>
    </r>
  </si>
  <si>
    <t>Moduł stali rozciąg.</t>
  </si>
  <si>
    <r>
      <t>= [k</t>
    </r>
    <r>
      <rPr>
        <vertAlign val="subscript"/>
        <sz val="12"/>
        <rFont val="Arial"/>
        <family val="2"/>
      </rPr>
      <t>s</t>
    </r>
    <r>
      <rPr>
        <sz val="12"/>
        <rFont val="Arial"/>
        <family val="2"/>
      </rPr>
      <t>+(1-k</t>
    </r>
    <r>
      <rPr>
        <vertAlign val="subscript"/>
        <sz val="12"/>
        <rFont val="Arial"/>
        <family val="2"/>
      </rPr>
      <t>s</t>
    </r>
    <r>
      <rPr>
        <sz val="12"/>
        <rFont val="Arial"/>
        <family val="2"/>
      </rPr>
      <t>)/(1+(ε</t>
    </r>
    <r>
      <rPr>
        <vertAlign val="subscript"/>
        <sz val="12"/>
        <rFont val="Arial"/>
        <family val="2"/>
      </rPr>
      <t>st</t>
    </r>
    <r>
      <rPr>
        <sz val="12"/>
        <rFont val="Arial"/>
        <family val="2"/>
      </rPr>
      <t>/ε</t>
    </r>
    <r>
      <rPr>
        <vertAlign val="subscript"/>
        <sz val="12"/>
        <rFont val="Arial"/>
        <family val="2"/>
      </rPr>
      <t>yd</t>
    </r>
    <r>
      <rPr>
        <sz val="12"/>
        <rFont val="Arial"/>
        <family val="2"/>
      </rPr>
      <t>)</t>
    </r>
    <r>
      <rPr>
        <vertAlign val="superscript"/>
        <sz val="12"/>
        <rFont val="Arial"/>
        <family val="2"/>
      </rPr>
      <t>Rs</t>
    </r>
    <r>
      <rPr>
        <sz val="12"/>
        <rFont val="Arial"/>
        <family val="2"/>
      </rPr>
      <t>)</t>
    </r>
    <r>
      <rPr>
        <vertAlign val="superscript"/>
        <sz val="12"/>
        <rFont val="Arial"/>
        <family val="2"/>
      </rPr>
      <t>(1/Rs)</t>
    </r>
    <r>
      <rPr>
        <sz val="12"/>
        <rFont val="Arial"/>
        <family val="2"/>
      </rPr>
      <t>]*E</t>
    </r>
    <r>
      <rPr>
        <vertAlign val="subscript"/>
        <sz val="12"/>
        <rFont val="Arial"/>
        <family val="2"/>
      </rPr>
      <t>s</t>
    </r>
  </si>
  <si>
    <r>
      <t>E</t>
    </r>
    <r>
      <rPr>
        <vertAlign val="subscript"/>
        <sz val="12"/>
        <rFont val="Arial"/>
        <family val="2"/>
      </rPr>
      <t>st</t>
    </r>
  </si>
  <si>
    <r>
      <t>= Est*ε</t>
    </r>
    <r>
      <rPr>
        <vertAlign val="subscript"/>
        <sz val="12"/>
        <rFont val="Arial"/>
        <family val="2"/>
      </rPr>
      <t>st</t>
    </r>
  </si>
  <si>
    <t>Rysunek przekroju</t>
  </si>
  <si>
    <t>wsp. kształtu</t>
  </si>
  <si>
    <t>odstęp</t>
  </si>
  <si>
    <t>Sprawdził</t>
  </si>
  <si>
    <t>Rewizja</t>
  </si>
  <si>
    <t>Pracownia Projektowa Chodor-Projekt</t>
  </si>
  <si>
    <t>Przykład 1</t>
  </si>
  <si>
    <t>Przykład testowy 1</t>
  </si>
  <si>
    <r>
      <t xml:space="preserve">Plik </t>
    </r>
    <r>
      <rPr>
        <b/>
        <sz val="8"/>
        <color indexed="10"/>
        <rFont val="Tekton"/>
        <family val="2"/>
      </rPr>
      <t>CHP Ż01 v.1.0.xlsm</t>
    </r>
    <r>
      <rPr>
        <sz val="8"/>
        <rFont val="Tekton"/>
        <family val="2"/>
      </rPr>
      <t>'               © 2017 Chodor-Projekt na podstawie RCC12  © 1999 BCA for RCC</t>
    </r>
  </si>
  <si>
    <t>Odkszt liniowe beton</t>
  </si>
  <si>
    <r>
      <t>ε</t>
    </r>
    <r>
      <rPr>
        <vertAlign val="subscript"/>
        <sz val="12"/>
        <rFont val="Arial"/>
        <family val="2"/>
      </rPr>
      <t>c2</t>
    </r>
  </si>
  <si>
    <r>
      <t>0.75d</t>
    </r>
    <r>
      <rPr>
        <b/>
        <vertAlign val="subscript"/>
        <sz val="12"/>
        <color indexed="10"/>
        <rFont val="Arial"/>
        <family val="2"/>
      </rPr>
      <t>tl</t>
    </r>
  </si>
  <si>
    <t>ChP-1</t>
  </si>
  <si>
    <t>z wykorzystaniem struktury arkusza</t>
  </si>
  <si>
    <t>A</t>
  </si>
  <si>
    <r>
      <t>N</t>
    </r>
    <r>
      <rPr>
        <vertAlign val="subscript"/>
        <sz val="14"/>
        <rFont val="Arial"/>
        <family val="2"/>
      </rPr>
      <t>Rd</t>
    </r>
    <r>
      <rPr>
        <sz val="14"/>
        <rFont val="Arial"/>
        <family val="2"/>
      </rPr>
      <t>=F</t>
    </r>
    <r>
      <rPr>
        <vertAlign val="subscript"/>
        <sz val="14"/>
        <rFont val="Arial"/>
        <family val="2"/>
      </rPr>
      <t xml:space="preserve">c </t>
    </r>
    <r>
      <rPr>
        <sz val="14"/>
        <rFont val="Arial"/>
        <family val="2"/>
      </rPr>
      <t>+ F</t>
    </r>
    <r>
      <rPr>
        <vertAlign val="subscript"/>
        <sz val="14"/>
        <rFont val="Arial"/>
        <family val="2"/>
      </rPr>
      <t>sc</t>
    </r>
    <r>
      <rPr>
        <sz val="14"/>
        <rFont val="Arial"/>
        <family val="2"/>
      </rPr>
      <t xml:space="preserve"> - F</t>
    </r>
    <r>
      <rPr>
        <vertAlign val="subscript"/>
        <sz val="14"/>
        <rFont val="Arial"/>
        <family val="2"/>
      </rPr>
      <t>st</t>
    </r>
  </si>
  <si>
    <r>
      <t>M</t>
    </r>
    <r>
      <rPr>
        <vertAlign val="subscript"/>
        <sz val="14"/>
        <rFont val="Arial"/>
        <family val="2"/>
      </rPr>
      <t>Rd</t>
    </r>
    <r>
      <rPr>
        <sz val="14"/>
        <rFont val="Arial"/>
        <family val="2"/>
      </rPr>
      <t>=M</t>
    </r>
    <r>
      <rPr>
        <vertAlign val="subscript"/>
        <sz val="14"/>
        <rFont val="Arial"/>
        <family val="2"/>
      </rPr>
      <t>c</t>
    </r>
    <r>
      <rPr>
        <sz val="14"/>
        <rFont val="Arial"/>
        <family val="2"/>
      </rPr>
      <t>+M</t>
    </r>
    <r>
      <rPr>
        <vertAlign val="subscript"/>
        <sz val="14"/>
        <rFont val="Arial"/>
        <family val="2"/>
      </rPr>
      <t>sc</t>
    </r>
    <r>
      <rPr>
        <sz val="14"/>
        <rFont val="Arial"/>
        <family val="2"/>
      </rPr>
      <t>+M</t>
    </r>
    <r>
      <rPr>
        <vertAlign val="subscript"/>
        <sz val="14"/>
        <rFont val="Arial"/>
        <family val="2"/>
      </rPr>
      <t>st</t>
    </r>
  </si>
  <si>
    <t>Kasa plast.</t>
  </si>
  <si>
    <r>
      <t xml:space="preserve"> Pomarańczowe komunikaty</t>
    </r>
    <r>
      <rPr>
        <sz val="10"/>
        <color indexed="10"/>
        <rFont val="Marker"/>
        <family val="0"/>
      </rPr>
      <t xml:space="preserve"> </t>
    </r>
    <r>
      <rPr>
        <sz val="10"/>
        <rFont val="Marker"/>
        <family val="0"/>
      </rPr>
      <t>są uwagami</t>
    </r>
  </si>
  <si>
    <r>
      <t xml:space="preserve"> </t>
    </r>
    <r>
      <rPr>
        <sz val="11"/>
        <rFont val="Marker"/>
        <family val="0"/>
      </rPr>
      <t>Wprowadzaj dane tylko do</t>
    </r>
    <r>
      <rPr>
        <sz val="11"/>
        <color indexed="17"/>
        <rFont val="Marker"/>
        <family val="0"/>
      </rPr>
      <t xml:space="preserve">  </t>
    </r>
    <r>
      <rPr>
        <sz val="11"/>
        <color indexed="12"/>
        <rFont val="Marker"/>
        <family val="0"/>
      </rPr>
      <t>niebieskich komórek</t>
    </r>
  </si>
  <si>
    <t>Rodzaj elementu</t>
  </si>
  <si>
    <t xml:space="preserve">belka </t>
  </si>
  <si>
    <t>słup</t>
  </si>
  <si>
    <t xml:space="preserve">płyta </t>
  </si>
  <si>
    <t>ściana</t>
  </si>
  <si>
    <t>płyta</t>
  </si>
  <si>
    <t>Wytrz. beton rozc.</t>
  </si>
  <si>
    <r>
      <t>f</t>
    </r>
    <r>
      <rPr>
        <vertAlign val="subscript"/>
        <sz val="10"/>
        <rFont val="Arial"/>
        <family val="2"/>
      </rPr>
      <t>ctm/</t>
    </r>
    <r>
      <rPr>
        <sz val="10"/>
        <rFont val="Arial"/>
        <family val="2"/>
      </rPr>
      <t>=0,30* f</t>
    </r>
    <r>
      <rPr>
        <vertAlign val="subscript"/>
        <sz val="10"/>
        <rFont val="Arial"/>
        <family val="2"/>
      </rPr>
      <t xml:space="preserve">ck </t>
    </r>
    <r>
      <rPr>
        <vertAlign val="superscript"/>
        <sz val="10"/>
        <rFont val="Arial"/>
        <family val="2"/>
      </rPr>
      <t>2/3</t>
    </r>
  </si>
  <si>
    <r>
      <t>A</t>
    </r>
    <r>
      <rPr>
        <vertAlign val="subscript"/>
        <sz val="10"/>
        <rFont val="Arial"/>
        <family val="2"/>
      </rPr>
      <t>sminB</t>
    </r>
    <r>
      <rPr>
        <sz val="10"/>
        <rFont val="Arial"/>
        <family val="0"/>
      </rPr>
      <t>=max{0,26f</t>
    </r>
    <r>
      <rPr>
        <vertAlign val="subscript"/>
        <sz val="10"/>
        <rFont val="Arial"/>
        <family val="2"/>
      </rPr>
      <t>ctm</t>
    </r>
    <r>
      <rPr>
        <sz val="10"/>
        <rFont val="Arial"/>
        <family val="0"/>
      </rPr>
      <t>/f</t>
    </r>
    <r>
      <rPr>
        <vertAlign val="subscript"/>
        <sz val="10"/>
        <rFont val="Arial"/>
        <family val="2"/>
      </rPr>
      <t>yk</t>
    </r>
    <r>
      <rPr>
        <sz val="10"/>
        <rFont val="Arial"/>
        <family val="0"/>
      </rPr>
      <t>;0,0013}*b*d</t>
    </r>
    <r>
      <rPr>
        <vertAlign val="subscript"/>
        <sz val="10"/>
        <rFont val="Arial"/>
        <family val="2"/>
      </rPr>
      <t>tl</t>
    </r>
  </si>
  <si>
    <t>Zbrojenie minimalne rozc.:</t>
  </si>
  <si>
    <t>(dolne  i/lub góne)</t>
  </si>
  <si>
    <t xml:space="preserve">Zred. wyosokość  </t>
  </si>
  <si>
    <t>h*= h lub 1m (h&gt;1m)</t>
  </si>
  <si>
    <t>Wsp. k</t>
  </si>
  <si>
    <r>
      <t>Wsp. k</t>
    </r>
    <r>
      <rPr>
        <vertAlign val="subscript"/>
        <sz val="10"/>
        <rFont val="Arial"/>
        <family val="2"/>
      </rPr>
      <t xml:space="preserve">1 </t>
    </r>
    <r>
      <rPr>
        <sz val="10"/>
        <rFont val="Arial"/>
        <family val="2"/>
      </rPr>
      <t>(N</t>
    </r>
    <r>
      <rPr>
        <vertAlign val="subscript"/>
        <sz val="10"/>
        <rFont val="Arial"/>
        <family val="2"/>
      </rPr>
      <t>Ed1</t>
    </r>
    <r>
      <rPr>
        <sz val="10"/>
        <rFont val="Arial"/>
        <family val="2"/>
      </rPr>
      <t>)</t>
    </r>
  </si>
  <si>
    <r>
      <t>Wsp. k</t>
    </r>
    <r>
      <rPr>
        <vertAlign val="subscript"/>
        <sz val="10"/>
        <rFont val="Arial"/>
        <family val="2"/>
      </rPr>
      <t xml:space="preserve">1 </t>
    </r>
    <r>
      <rPr>
        <sz val="10"/>
        <rFont val="Arial"/>
        <family val="2"/>
      </rPr>
      <t>(N</t>
    </r>
    <r>
      <rPr>
        <vertAlign val="subscript"/>
        <sz val="10"/>
        <rFont val="Arial"/>
        <family val="2"/>
      </rPr>
      <t>Ed2</t>
    </r>
    <r>
      <rPr>
        <sz val="10"/>
        <rFont val="Arial"/>
        <family val="2"/>
      </rPr>
      <t>)</t>
    </r>
  </si>
  <si>
    <t>belka rysy</t>
  </si>
  <si>
    <r>
      <t>A</t>
    </r>
    <r>
      <rPr>
        <vertAlign val="subscript"/>
        <sz val="10"/>
        <rFont val="Arial"/>
        <family val="2"/>
      </rPr>
      <t>sminŚ</t>
    </r>
    <r>
      <rPr>
        <sz val="10"/>
        <rFont val="Arial"/>
        <family val="0"/>
      </rPr>
      <t>=0.002*b*h/2</t>
    </r>
  </si>
  <si>
    <r>
      <t>A</t>
    </r>
    <r>
      <rPr>
        <vertAlign val="subscript"/>
        <sz val="10"/>
        <rFont val="Arial"/>
        <family val="2"/>
      </rPr>
      <t>sminS</t>
    </r>
    <r>
      <rPr>
        <sz val="10"/>
        <rFont val="Arial"/>
        <family val="2"/>
      </rPr>
      <t>=max ( N</t>
    </r>
    <r>
      <rPr>
        <vertAlign val="subscript"/>
        <sz val="10"/>
        <rFont val="Arial"/>
        <family val="2"/>
      </rPr>
      <t>Edmax</t>
    </r>
    <r>
      <rPr>
        <sz val="10"/>
        <rFont val="Arial"/>
        <family val="2"/>
      </rPr>
      <t>*0,10/f</t>
    </r>
    <r>
      <rPr>
        <vertAlign val="subscript"/>
        <sz val="10"/>
        <rFont val="Arial"/>
        <family val="2"/>
      </rPr>
      <t>yd</t>
    </r>
    <r>
      <rPr>
        <sz val="10"/>
        <rFont val="Arial"/>
        <family val="2"/>
      </rPr>
      <t>; 0.002*b*h)</t>
    </r>
  </si>
  <si>
    <t>belka kruche pękanie</t>
  </si>
  <si>
    <t xml:space="preserve"> Wymogi konstrukcyjne:</t>
  </si>
  <si>
    <t>Wymóg  minimalnego stopnia zbrojenia:</t>
  </si>
  <si>
    <t>Wymóg  maksymalnego stopnia zbrojenia:</t>
  </si>
  <si>
    <t>Element</t>
  </si>
  <si>
    <t>ZGINANIE Z SIŁĄ OSIOWĄ  wg PN-EN 1992 nieliniowy model</t>
  </si>
  <si>
    <t>LCH-Ż01, v1.0</t>
  </si>
  <si>
    <t>Publiczne wydanie kalkulatora żelbetu,wersja Chodor-Projekt: wg EN 1992 oraz  stal ze wzmocneniem</t>
  </si>
  <si>
    <t>Wersja</t>
  </si>
  <si>
    <t>Zdarzenie</t>
  </si>
  <si>
    <r>
      <t xml:space="preserve">Historia rewizji   </t>
    </r>
    <r>
      <rPr>
        <b/>
        <sz val="12"/>
        <color indexed="60"/>
        <rFont val="Tekton"/>
        <family val="2"/>
      </rPr>
      <t>Kalkulator żelbetu M-N</t>
    </r>
  </si>
  <si>
    <t>Wersja publiczna (free)</t>
  </si>
  <si>
    <t>Do wydania angielskiego RCC12 (1999)</t>
  </si>
  <si>
    <t xml:space="preserve">Wydanie polskie NIE jest tłumaczeniem wydania angielskiego, lecz oryginalnym kalkulatorem, w którym wykorzystano jedynie strukturę wydania angielskiego. Arkusz jest zaimplementowany dla nieliniowego modelu betonu opisanego w normie  Eurokod2 (wydanie polskie PN-EN 1992-1) , a także model stali ze wzmocnieniem plastycznym. 
Teorię zaimplementowaną w arkuszu opublikowana w artykule:
http://chodor-projekt.net/encyclopedia/nowy-algorytm-projektowania-zelbetu/ 
                                                           </t>
  </si>
  <si>
    <t>Status arkusza</t>
  </si>
  <si>
    <t>Komentarze:</t>
  </si>
  <si>
    <t>Do wydania polskiego CHP-Ż01 (2017)</t>
  </si>
  <si>
    <t>Dla Projektanta:</t>
  </si>
  <si>
    <r>
      <t xml:space="preserve"> </t>
    </r>
    <r>
      <rPr>
        <sz val="10"/>
        <color indexed="10"/>
        <rFont val="Marker"/>
        <family val="0"/>
      </rPr>
      <t>Czerwone komunikaty</t>
    </r>
    <r>
      <rPr>
        <sz val="10"/>
        <color indexed="17"/>
        <rFont val="Marker"/>
        <family val="0"/>
      </rPr>
      <t xml:space="preserve">  </t>
    </r>
    <r>
      <rPr>
        <sz val="10"/>
        <rFont val="Marker"/>
        <family val="0"/>
      </rPr>
      <t>niżej wskazują na błędy danych.</t>
    </r>
  </si>
  <si>
    <t>Zbrojenie maksymalne:</t>
  </si>
  <si>
    <t>belka</t>
  </si>
  <si>
    <r>
      <t>A</t>
    </r>
    <r>
      <rPr>
        <vertAlign val="subscript"/>
        <sz val="10"/>
        <rFont val="Arial"/>
        <family val="2"/>
      </rPr>
      <t>smaxB</t>
    </r>
    <r>
      <rPr>
        <sz val="10"/>
        <rFont val="Arial"/>
        <family val="0"/>
      </rPr>
      <t>=0,04 *b*h</t>
    </r>
  </si>
  <si>
    <r>
      <t>A</t>
    </r>
    <r>
      <rPr>
        <vertAlign val="subscript"/>
        <sz val="10"/>
        <rFont val="Arial"/>
        <family val="2"/>
      </rPr>
      <t>smaS</t>
    </r>
    <r>
      <rPr>
        <sz val="10"/>
        <rFont val="Arial"/>
        <family val="2"/>
      </rPr>
      <t>=0,04 *b*h</t>
    </r>
  </si>
  <si>
    <r>
      <t>A</t>
    </r>
    <r>
      <rPr>
        <vertAlign val="subscript"/>
        <sz val="10"/>
        <rFont val="Arial"/>
        <family val="2"/>
      </rPr>
      <t>smaxŚ</t>
    </r>
    <r>
      <rPr>
        <sz val="10"/>
        <rFont val="Arial"/>
        <family val="0"/>
      </rPr>
      <t>=0,004 *b*h</t>
    </r>
  </si>
  <si>
    <t>Prześwit między pretami</t>
  </si>
  <si>
    <r>
      <t>s</t>
    </r>
    <r>
      <rPr>
        <vertAlign val="subscript"/>
        <sz val="10"/>
        <rFont val="Arial"/>
        <family val="2"/>
      </rPr>
      <t>min</t>
    </r>
    <r>
      <rPr>
        <sz val="10"/>
        <rFont val="Arial"/>
        <family val="2"/>
      </rPr>
      <t>=min{s-F}=</t>
    </r>
  </si>
</sst>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lt;36526]dd\-mmm\-yy;dd\-mmm\-yyyy"/>
    <numFmt numFmtId="165" formatCode="0.000"/>
    <numFmt numFmtId="166" formatCode="0.0"/>
    <numFmt numFmtId="167" formatCode="0.0000"/>
    <numFmt numFmtId="168" formatCode="0.00000"/>
    <numFmt numFmtId="169" formatCode="d\-mmm\-yy"/>
  </numFmts>
  <fonts count="130">
    <font>
      <sz val="10"/>
      <name val="Arial"/>
      <family val="0"/>
    </font>
    <font>
      <sz val="11"/>
      <color indexed="8"/>
      <name val="Czcionka tekstu podstawowego"/>
      <family val="2"/>
    </font>
    <font>
      <sz val="12"/>
      <name val="Technical"/>
      <family val="0"/>
    </font>
    <font>
      <sz val="12"/>
      <name val="Arial"/>
      <family val="2"/>
    </font>
    <font>
      <sz val="12"/>
      <name val="Challenge Extra Bold"/>
      <family val="0"/>
    </font>
    <font>
      <sz val="12"/>
      <name val="Symbol"/>
      <family val="1"/>
    </font>
    <font>
      <sz val="24"/>
      <color indexed="12"/>
      <name val="Amelia BT"/>
      <family val="0"/>
    </font>
    <font>
      <sz val="16"/>
      <color indexed="16"/>
      <name val="Impress BT"/>
      <family val="0"/>
    </font>
    <font>
      <i/>
      <sz val="10"/>
      <name val="Arial"/>
      <family val="2"/>
    </font>
    <font>
      <b/>
      <sz val="10"/>
      <color indexed="10"/>
      <name val="Arial"/>
      <family val="2"/>
    </font>
    <font>
      <sz val="10"/>
      <name val="Technical"/>
      <family val="4"/>
    </font>
    <font>
      <sz val="12"/>
      <name val="Tekton"/>
      <family val="2"/>
    </font>
    <font>
      <sz val="12"/>
      <name val="Marker"/>
      <family val="2"/>
    </font>
    <font>
      <sz val="10"/>
      <name val="Marker"/>
      <family val="2"/>
    </font>
    <font>
      <sz val="16"/>
      <color indexed="12"/>
      <name val="Marker"/>
      <family val="2"/>
    </font>
    <font>
      <sz val="12"/>
      <color indexed="12"/>
      <name val="Marker"/>
      <family val="2"/>
    </font>
    <font>
      <sz val="10"/>
      <name val="Tekton"/>
      <family val="2"/>
    </font>
    <font>
      <sz val="12"/>
      <color indexed="10"/>
      <name val="Tekton"/>
      <family val="2"/>
    </font>
    <font>
      <sz val="8"/>
      <name val="Tekton"/>
      <family val="2"/>
    </font>
    <font>
      <sz val="12"/>
      <color indexed="14"/>
      <name val="Tekton"/>
      <family val="2"/>
    </font>
    <font>
      <sz val="12"/>
      <color indexed="12"/>
      <name val="Tekton"/>
      <family val="2"/>
    </font>
    <font>
      <sz val="12"/>
      <color indexed="18"/>
      <name val="Tekton"/>
      <family val="2"/>
    </font>
    <font>
      <sz val="10"/>
      <color indexed="10"/>
      <name val="Marker"/>
      <family val="2"/>
    </font>
    <font>
      <u val="single"/>
      <sz val="12"/>
      <color indexed="12"/>
      <name val="Tekton"/>
      <family val="2"/>
    </font>
    <font>
      <sz val="8"/>
      <name val="Marker"/>
      <family val="2"/>
    </font>
    <font>
      <sz val="10"/>
      <color indexed="16"/>
      <name val="Marker"/>
      <family val="2"/>
    </font>
    <font>
      <sz val="10"/>
      <color indexed="12"/>
      <name val="Marker"/>
      <family val="2"/>
    </font>
    <font>
      <sz val="10"/>
      <color indexed="17"/>
      <name val="Marker"/>
      <family val="2"/>
    </font>
    <font>
      <i/>
      <sz val="12"/>
      <color indexed="17"/>
      <name val="Tekton"/>
      <family val="2"/>
    </font>
    <font>
      <i/>
      <sz val="10"/>
      <color indexed="17"/>
      <name val="Tekton"/>
      <family val="2"/>
    </font>
    <font>
      <sz val="14"/>
      <name val="Challenge Extra Bold"/>
      <family val="0"/>
    </font>
    <font>
      <sz val="14"/>
      <name val="Courier New"/>
      <family val="3"/>
    </font>
    <font>
      <sz val="14"/>
      <name val="Tekton"/>
      <family val="2"/>
    </font>
    <font>
      <b/>
      <sz val="12"/>
      <color indexed="60"/>
      <name val="Tekton"/>
      <family val="2"/>
    </font>
    <font>
      <sz val="12"/>
      <color indexed="17"/>
      <name val="Tekton"/>
      <family val="2"/>
    </font>
    <font>
      <sz val="12"/>
      <color indexed="60"/>
      <name val="Tekton"/>
      <family val="2"/>
    </font>
    <font>
      <sz val="11"/>
      <color indexed="12"/>
      <name val="Marker"/>
      <family val="2"/>
    </font>
    <font>
      <sz val="16"/>
      <name val="Marker"/>
      <family val="2"/>
    </font>
    <font>
      <sz val="14"/>
      <name val="Marker"/>
      <family val="2"/>
    </font>
    <font>
      <sz val="11"/>
      <name val="Tekton"/>
      <family val="2"/>
    </font>
    <font>
      <b/>
      <sz val="8"/>
      <color indexed="10"/>
      <name val="Tekton"/>
      <family val="2"/>
    </font>
    <font>
      <b/>
      <sz val="11"/>
      <name val="Tekton"/>
      <family val="2"/>
    </font>
    <font>
      <i/>
      <sz val="11"/>
      <name val="Tekton"/>
      <family val="2"/>
    </font>
    <font>
      <sz val="11"/>
      <name val="Arial"/>
      <family val="2"/>
    </font>
    <font>
      <sz val="11"/>
      <name val="Symbol"/>
      <family val="1"/>
    </font>
    <font>
      <b/>
      <sz val="12"/>
      <color indexed="61"/>
      <name val="Tekton"/>
      <family val="2"/>
    </font>
    <font>
      <sz val="12"/>
      <color indexed="61"/>
      <name val="Tekton"/>
      <family val="2"/>
    </font>
    <font>
      <vertAlign val="subscript"/>
      <sz val="10"/>
      <color indexed="17"/>
      <name val="Marker"/>
      <family val="2"/>
    </font>
    <font>
      <sz val="12"/>
      <color indexed="8"/>
      <name val="Marker"/>
      <family val="2"/>
    </font>
    <font>
      <sz val="14"/>
      <color indexed="18"/>
      <name val="Arial"/>
      <family val="2"/>
    </font>
    <font>
      <sz val="14"/>
      <name val="Arial"/>
      <family val="2"/>
    </font>
    <font>
      <sz val="11"/>
      <name val="Gill Sans"/>
      <family val="0"/>
    </font>
    <font>
      <b/>
      <sz val="11"/>
      <color indexed="12"/>
      <name val="Gill Sans"/>
      <family val="0"/>
    </font>
    <font>
      <b/>
      <sz val="10"/>
      <color indexed="12"/>
      <name val="Gill Sans"/>
      <family val="0"/>
    </font>
    <font>
      <sz val="10"/>
      <color indexed="12"/>
      <name val="Gill Sans"/>
      <family val="0"/>
    </font>
    <font>
      <vertAlign val="subscript"/>
      <sz val="12"/>
      <name val="Tekton"/>
      <family val="0"/>
    </font>
    <font>
      <vertAlign val="subscript"/>
      <sz val="10"/>
      <name val="Arial"/>
      <family val="2"/>
    </font>
    <font>
      <vertAlign val="subscript"/>
      <sz val="11"/>
      <name val="Tekton"/>
      <family val="0"/>
    </font>
    <font>
      <i/>
      <sz val="11"/>
      <name val="Arial"/>
      <family val="2"/>
    </font>
    <font>
      <sz val="11"/>
      <color indexed="12"/>
      <name val="Arial"/>
      <family val="2"/>
    </font>
    <font>
      <vertAlign val="superscript"/>
      <sz val="10"/>
      <name val="Arial"/>
      <family val="2"/>
    </font>
    <font>
      <vertAlign val="superscript"/>
      <sz val="12"/>
      <name val="Arial"/>
      <family val="2"/>
    </font>
    <font>
      <vertAlign val="superscript"/>
      <sz val="14"/>
      <name val="Arial"/>
      <family val="2"/>
    </font>
    <font>
      <vertAlign val="superscript"/>
      <sz val="16"/>
      <name val="Arial"/>
      <family val="2"/>
    </font>
    <font>
      <u val="single"/>
      <sz val="12"/>
      <name val="Arial"/>
      <family val="2"/>
    </font>
    <font>
      <vertAlign val="subscript"/>
      <sz val="12"/>
      <name val="Arial"/>
      <family val="2"/>
    </font>
    <font>
      <sz val="16"/>
      <color indexed="16"/>
      <name val="Arial"/>
      <family val="2"/>
    </font>
    <font>
      <vertAlign val="superscript"/>
      <sz val="12"/>
      <name val="Tekton"/>
      <family val="0"/>
    </font>
    <font>
      <b/>
      <sz val="12"/>
      <color indexed="25"/>
      <name val="Tekton"/>
      <family val="2"/>
    </font>
    <font>
      <b/>
      <sz val="10"/>
      <color indexed="25"/>
      <name val="Arial"/>
      <family val="2"/>
    </font>
    <font>
      <sz val="12"/>
      <color indexed="30"/>
      <name val="Tekton"/>
      <family val="2"/>
    </font>
    <font>
      <b/>
      <sz val="12"/>
      <color indexed="10"/>
      <name val="Arial"/>
      <family val="2"/>
    </font>
    <font>
      <b/>
      <vertAlign val="subscript"/>
      <sz val="12"/>
      <color indexed="10"/>
      <name val="Arial"/>
      <family val="2"/>
    </font>
    <font>
      <vertAlign val="subscript"/>
      <sz val="14"/>
      <name val="Arial"/>
      <family val="2"/>
    </font>
    <font>
      <b/>
      <sz val="12"/>
      <name val="Tekton"/>
      <family val="2"/>
    </font>
    <font>
      <b/>
      <sz val="12"/>
      <color indexed="16"/>
      <name val="Tekton"/>
      <family val="2"/>
    </font>
    <font>
      <sz val="10"/>
      <color indexed="10"/>
      <name val="Tekton"/>
      <family val="0"/>
    </font>
    <font>
      <sz val="11"/>
      <color indexed="17"/>
      <name val="Marker"/>
      <family val="0"/>
    </font>
    <font>
      <sz val="10"/>
      <color indexed="53"/>
      <name val="Marker"/>
      <family val="0"/>
    </font>
    <font>
      <sz val="11"/>
      <name val="Marker"/>
      <family val="0"/>
    </font>
    <font>
      <sz val="10"/>
      <color indexed="53"/>
      <name val="Tekton"/>
      <family val="0"/>
    </font>
    <font>
      <sz val="12"/>
      <color indexed="8"/>
      <name val="Tekton"/>
      <family val="0"/>
    </font>
    <font>
      <sz val="14.75"/>
      <color indexed="14"/>
      <name val="Tekton"/>
      <family val="0"/>
    </font>
    <font>
      <sz val="4"/>
      <color indexed="8"/>
      <name val="Arial"/>
      <family val="0"/>
    </font>
    <font>
      <sz val="14.75"/>
      <color indexed="8"/>
      <name val="Arial"/>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0"/>
      <color indexed="52"/>
      <name val="Tekton"/>
      <family val="0"/>
    </font>
    <font>
      <sz val="8"/>
      <name val="Tahoma"/>
      <family val="2"/>
    </font>
    <font>
      <sz val="11"/>
      <name val="Calibri"/>
      <family val="0"/>
    </font>
    <font>
      <sz val="9"/>
      <color indexed="60"/>
      <name val="Tekton"/>
      <family val="0"/>
    </font>
    <font>
      <vertAlign val="subscript"/>
      <sz val="9"/>
      <color indexed="60"/>
      <name val="Tekton"/>
      <family val="0"/>
    </font>
    <font>
      <sz val="9"/>
      <color indexed="60"/>
      <name val="Arial"/>
      <family val="0"/>
    </font>
    <font>
      <vertAlign val="subscript"/>
      <sz val="12"/>
      <color indexed="8"/>
      <name val="Marker"/>
      <family val="0"/>
    </font>
    <font>
      <sz val="10"/>
      <color indexed="8"/>
      <name val="Calibri"/>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FF9933"/>
      <name val="Tekton"/>
      <family val="0"/>
    </font>
    <font>
      <sz val="12"/>
      <color theme="1"/>
      <name val="Marker"/>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9"/>
        <bgColor indexed="64"/>
      </patternFill>
    </fill>
    <fill>
      <patternFill patternType="gray125">
        <fgColor indexed="13"/>
        <bgColor indexed="9"/>
      </patternFill>
    </fill>
    <fill>
      <patternFill patternType="solid">
        <fgColor rgb="FFE8FEF7"/>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border>
    <border>
      <left style="thin"/>
      <right style="thin"/>
      <top/>
      <bottom style="thin"/>
    </border>
    <border>
      <left/>
      <right/>
      <top style="double"/>
      <bottom style="double"/>
    </border>
    <border>
      <left/>
      <right style="double"/>
      <top style="double"/>
      <bottom style="double"/>
    </border>
    <border>
      <left style="double"/>
      <right style="thin"/>
      <top style="double"/>
      <bottom/>
    </border>
    <border>
      <left style="thin"/>
      <right style="double"/>
      <top/>
      <bottom/>
    </border>
    <border>
      <left style="double"/>
      <right/>
      <top/>
      <bottom/>
    </border>
    <border>
      <left style="thin"/>
      <right/>
      <top style="thin"/>
      <bottom/>
    </border>
    <border>
      <left style="thin"/>
      <right style="double"/>
      <top style="thin"/>
      <bottom/>
    </border>
    <border>
      <left style="thin"/>
      <right style="thin"/>
      <top style="thin"/>
      <bottom style="thin"/>
    </border>
    <border>
      <left/>
      <right/>
      <top style="double"/>
      <bottom/>
    </border>
    <border>
      <left style="double"/>
      <right/>
      <top/>
      <bottom style="thin"/>
    </border>
    <border>
      <left style="thin"/>
      <right/>
      <top/>
      <bottom/>
    </border>
    <border>
      <left style="double"/>
      <right/>
      <top style="double"/>
      <bottom style="double"/>
    </border>
    <border>
      <left/>
      <right style="thin"/>
      <top style="thin"/>
      <bottom/>
    </border>
    <border>
      <left style="thin"/>
      <right/>
      <top/>
      <bottom style="thin"/>
    </border>
    <border>
      <left/>
      <right style="thin"/>
      <top/>
      <bottom style="thin"/>
    </border>
    <border>
      <left/>
      <right/>
      <top style="thin"/>
      <bottom/>
    </border>
    <border>
      <left/>
      <right/>
      <top/>
      <bottom style="thin"/>
    </border>
    <border>
      <left/>
      <right style="medium"/>
      <top style="medium"/>
      <bottom/>
    </border>
    <border>
      <left/>
      <right style="medium"/>
      <top/>
      <bottom style="medium"/>
    </border>
    <border>
      <left/>
      <right/>
      <top style="medium"/>
      <bottom/>
    </border>
    <border>
      <left/>
      <right/>
      <top/>
      <bottom style="medium"/>
    </border>
    <border>
      <left/>
      <right style="double"/>
      <top/>
      <bottom/>
    </border>
    <border>
      <left style="double"/>
      <right/>
      <top style="double"/>
      <bottom/>
    </border>
    <border>
      <left/>
      <right style="double"/>
      <top style="double"/>
      <bottom/>
    </border>
    <border>
      <left style="double"/>
      <right/>
      <top/>
      <bottom style="double"/>
    </border>
    <border>
      <left/>
      <right/>
      <top/>
      <bottom style="double"/>
    </border>
    <border>
      <left/>
      <right style="double"/>
      <top/>
      <bottom style="double"/>
    </border>
    <border>
      <left/>
      <right style="thin"/>
      <top/>
      <bottom/>
    </border>
    <border>
      <left style="medium"/>
      <right style="medium"/>
      <top style="medium"/>
      <bottom/>
    </border>
    <border>
      <left style="medium"/>
      <right style="medium"/>
      <top/>
      <bottom style="medium"/>
    </border>
    <border>
      <left/>
      <right style="thin"/>
      <top style="medium"/>
      <bottom/>
    </border>
    <border>
      <left style="thick"/>
      <right style="thick"/>
      <top style="thick"/>
      <bottom/>
    </border>
    <border>
      <left style="thick"/>
      <right style="thick"/>
      <top/>
      <bottom/>
    </border>
    <border>
      <left style="thick"/>
      <right style="thick"/>
      <top/>
      <bottom style="thick"/>
    </border>
    <border>
      <left style="thin"/>
      <right style="thin"/>
      <top/>
      <bottom/>
    </border>
    <border>
      <left style="medium"/>
      <right style="medium"/>
      <top style="medium"/>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medium"/>
      <right/>
      <top/>
      <bottom style="medium"/>
    </border>
    <border>
      <left style="medium"/>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0" fillId="2" borderId="0" applyNumberFormat="0" applyBorder="0" applyAlignment="0" applyProtection="0"/>
    <xf numFmtId="0" fontId="110" fillId="3" borderId="0" applyNumberFormat="0" applyBorder="0" applyAlignment="0" applyProtection="0"/>
    <xf numFmtId="0" fontId="110" fillId="4" borderId="0" applyNumberFormat="0" applyBorder="0" applyAlignment="0" applyProtection="0"/>
    <xf numFmtId="0" fontId="110" fillId="5" borderId="0" applyNumberFormat="0" applyBorder="0" applyAlignment="0" applyProtection="0"/>
    <xf numFmtId="0" fontId="110" fillId="6" borderId="0" applyNumberFormat="0" applyBorder="0" applyAlignment="0" applyProtection="0"/>
    <xf numFmtId="0" fontId="110" fillId="7" borderId="0" applyNumberFormat="0" applyBorder="0" applyAlignment="0" applyProtection="0"/>
    <xf numFmtId="0" fontId="110" fillId="8" borderId="0" applyNumberFormat="0" applyBorder="0" applyAlignment="0" applyProtection="0"/>
    <xf numFmtId="0" fontId="110" fillId="9" borderId="0" applyNumberFormat="0" applyBorder="0" applyAlignment="0" applyProtection="0"/>
    <xf numFmtId="0" fontId="110" fillId="10" borderId="0" applyNumberFormat="0" applyBorder="0" applyAlignment="0" applyProtection="0"/>
    <xf numFmtId="0" fontId="110" fillId="11" borderId="0" applyNumberFormat="0" applyBorder="0" applyAlignment="0" applyProtection="0"/>
    <xf numFmtId="0" fontId="110" fillId="12" borderId="0" applyNumberFormat="0" applyBorder="0" applyAlignment="0" applyProtection="0"/>
    <xf numFmtId="0" fontId="110" fillId="13" borderId="0" applyNumberFormat="0" applyBorder="0" applyAlignment="0" applyProtection="0"/>
    <xf numFmtId="0" fontId="111" fillId="14" borderId="0" applyNumberFormat="0" applyBorder="0" applyAlignment="0" applyProtection="0"/>
    <xf numFmtId="0" fontId="111" fillId="15" borderId="0" applyNumberFormat="0" applyBorder="0" applyAlignment="0" applyProtection="0"/>
    <xf numFmtId="0" fontId="111" fillId="16" borderId="0" applyNumberFormat="0" applyBorder="0" applyAlignment="0" applyProtection="0"/>
    <xf numFmtId="0" fontId="111" fillId="17" borderId="0" applyNumberFormat="0" applyBorder="0" applyAlignment="0" applyProtection="0"/>
    <xf numFmtId="0" fontId="111" fillId="18" borderId="0" applyNumberFormat="0" applyBorder="0" applyAlignment="0" applyProtection="0"/>
    <xf numFmtId="0" fontId="111" fillId="19" borderId="0" applyNumberFormat="0" applyBorder="0" applyAlignment="0" applyProtection="0"/>
    <xf numFmtId="0" fontId="111" fillId="20" borderId="0" applyNumberFormat="0" applyBorder="0" applyAlignment="0" applyProtection="0"/>
    <xf numFmtId="0" fontId="111" fillId="21" borderId="0" applyNumberFormat="0" applyBorder="0" applyAlignment="0" applyProtection="0"/>
    <xf numFmtId="0" fontId="111" fillId="22" borderId="0" applyNumberFormat="0" applyBorder="0" applyAlignment="0" applyProtection="0"/>
    <xf numFmtId="0" fontId="111" fillId="23" borderId="0" applyNumberFormat="0" applyBorder="0" applyAlignment="0" applyProtection="0"/>
    <xf numFmtId="0" fontId="111" fillId="24" borderId="0" applyNumberFormat="0" applyBorder="0" applyAlignment="0" applyProtection="0"/>
    <xf numFmtId="0" fontId="111" fillId="25" borderId="0" applyNumberFormat="0" applyBorder="0" applyAlignment="0" applyProtection="0"/>
    <xf numFmtId="0" fontId="112" fillId="26" borderId="1" applyNumberFormat="0" applyAlignment="0" applyProtection="0"/>
    <xf numFmtId="0" fontId="113" fillId="27" borderId="2" applyNumberFormat="0" applyAlignment="0" applyProtection="0"/>
    <xf numFmtId="0" fontId="11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5" fillId="0" borderId="0" applyNumberFormat="0" applyFill="0" applyBorder="0" applyAlignment="0" applyProtection="0"/>
    <xf numFmtId="0" fontId="116" fillId="0" borderId="3" applyNumberFormat="0" applyFill="0" applyAlignment="0" applyProtection="0"/>
    <xf numFmtId="0" fontId="117" fillId="29" borderId="4" applyNumberFormat="0" applyAlignment="0" applyProtection="0"/>
    <xf numFmtId="0" fontId="118" fillId="0" borderId="5" applyNumberFormat="0" applyFill="0" applyAlignment="0" applyProtection="0"/>
    <xf numFmtId="0" fontId="119" fillId="0" borderId="6" applyNumberFormat="0" applyFill="0" applyAlignment="0" applyProtection="0"/>
    <xf numFmtId="0" fontId="120" fillId="0" borderId="7" applyNumberFormat="0" applyFill="0" applyAlignment="0" applyProtection="0"/>
    <xf numFmtId="0" fontId="120" fillId="0" borderId="0" applyNumberFormat="0" applyFill="0" applyBorder="0" applyAlignment="0" applyProtection="0"/>
    <xf numFmtId="0" fontId="121" fillId="30" borderId="0" applyNumberFormat="0" applyBorder="0" applyAlignment="0" applyProtection="0"/>
    <xf numFmtId="0" fontId="122" fillId="27" borderId="1" applyNumberFormat="0" applyAlignment="0" applyProtection="0"/>
    <xf numFmtId="9" fontId="0" fillId="0" borderId="0" applyFont="0" applyFill="0" applyBorder="0" applyAlignment="0" applyProtection="0"/>
    <xf numFmtId="0" fontId="123" fillId="0" borderId="8" applyNumberFormat="0" applyFill="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27" fillId="32" borderId="0" applyNumberFormat="0" applyBorder="0" applyAlignment="0" applyProtection="0"/>
  </cellStyleXfs>
  <cellXfs count="351">
    <xf numFmtId="0" fontId="0" fillId="0" borderId="0" xfId="0" applyAlignment="1">
      <alignment/>
    </xf>
    <xf numFmtId="0" fontId="2" fillId="0" borderId="0" xfId="0" applyFont="1" applyAlignment="1">
      <alignment/>
    </xf>
    <xf numFmtId="0" fontId="2" fillId="33" borderId="0" xfId="0" applyFont="1" applyFill="1" applyAlignment="1">
      <alignment/>
    </xf>
    <xf numFmtId="0" fontId="8" fillId="0" borderId="0" xfId="0" applyFont="1" applyAlignment="1">
      <alignment/>
    </xf>
    <xf numFmtId="0" fontId="11" fillId="0" borderId="0" xfId="0" applyFont="1" applyAlignment="1">
      <alignment horizontal="left"/>
    </xf>
    <xf numFmtId="0" fontId="11" fillId="0" borderId="0" xfId="0" applyFont="1" applyAlignment="1">
      <alignment/>
    </xf>
    <xf numFmtId="0" fontId="11" fillId="0" borderId="0" xfId="0" applyFont="1" applyAlignment="1">
      <alignment horizontal="center"/>
    </xf>
    <xf numFmtId="0" fontId="11" fillId="0" borderId="0" xfId="0" applyFont="1" applyAlignment="1">
      <alignment horizontal="right"/>
    </xf>
    <xf numFmtId="0" fontId="11" fillId="33" borderId="0" xfId="0" applyFont="1" applyFill="1" applyAlignment="1">
      <alignment/>
    </xf>
    <xf numFmtId="0" fontId="11" fillId="33" borderId="0" xfId="0" applyFont="1" applyFill="1" applyAlignment="1">
      <alignment horizontal="center"/>
    </xf>
    <xf numFmtId="0" fontId="23" fillId="0" borderId="10" xfId="0" applyFont="1" applyBorder="1" applyAlignment="1" applyProtection="1">
      <alignment horizontal="center"/>
      <protection locked="0"/>
    </xf>
    <xf numFmtId="0" fontId="23" fillId="0" borderId="11" xfId="0" applyFont="1" applyBorder="1" applyAlignment="1" applyProtection="1">
      <alignment horizontal="center"/>
      <protection locked="0"/>
    </xf>
    <xf numFmtId="2" fontId="11" fillId="0" borderId="0" xfId="0" applyNumberFormat="1" applyFont="1" applyAlignment="1">
      <alignment horizontal="center"/>
    </xf>
    <xf numFmtId="165" fontId="11" fillId="0" borderId="0" xfId="0" applyNumberFormat="1" applyFont="1" applyAlignment="1">
      <alignment horizontal="center"/>
    </xf>
    <xf numFmtId="166" fontId="11" fillId="0" borderId="0" xfId="0" applyNumberFormat="1" applyFont="1" applyAlignment="1">
      <alignment horizontal="center"/>
    </xf>
    <xf numFmtId="1" fontId="11" fillId="0" borderId="0" xfId="0" applyNumberFormat="1" applyFont="1" applyAlignment="1">
      <alignment horizontal="center"/>
    </xf>
    <xf numFmtId="2" fontId="11" fillId="0" borderId="0" xfId="0" applyNumberFormat="1" applyFont="1" applyAlignment="1">
      <alignment horizontal="left"/>
    </xf>
    <xf numFmtId="0" fontId="29" fillId="0" borderId="0" xfId="0" applyFont="1" applyAlignment="1">
      <alignment horizontal="left"/>
    </xf>
    <xf numFmtId="0" fontId="16" fillId="33" borderId="0" xfId="0" applyFont="1" applyFill="1" applyAlignment="1">
      <alignment horizontal="center"/>
    </xf>
    <xf numFmtId="2" fontId="20" fillId="0" borderId="0" xfId="0" applyNumberFormat="1" applyFont="1" applyAlignment="1">
      <alignment horizontal="center"/>
    </xf>
    <xf numFmtId="1" fontId="20" fillId="0" borderId="0" xfId="0" applyNumberFormat="1" applyFont="1" applyAlignment="1">
      <alignment horizontal="center"/>
    </xf>
    <xf numFmtId="168" fontId="11" fillId="0" borderId="0" xfId="0" applyNumberFormat="1" applyFont="1" applyAlignment="1">
      <alignment horizontal="center"/>
    </xf>
    <xf numFmtId="168" fontId="20" fillId="0" borderId="0" xfId="0" applyNumberFormat="1" applyFont="1" applyAlignment="1">
      <alignment horizontal="center"/>
    </xf>
    <xf numFmtId="166" fontId="20" fillId="0" borderId="0" xfId="0" applyNumberFormat="1" applyFont="1" applyAlignment="1">
      <alignment horizontal="center"/>
    </xf>
    <xf numFmtId="1" fontId="17" fillId="0" borderId="0" xfId="0" applyNumberFormat="1" applyFont="1" applyAlignment="1">
      <alignment horizontal="center"/>
    </xf>
    <xf numFmtId="0" fontId="17" fillId="0" borderId="0" xfId="0" applyFont="1" applyAlignment="1">
      <alignment horizontal="center"/>
    </xf>
    <xf numFmtId="0" fontId="30" fillId="0" borderId="0" xfId="0" applyFont="1" applyAlignment="1">
      <alignment/>
    </xf>
    <xf numFmtId="0" fontId="31" fillId="0" borderId="0" xfId="0" applyFont="1" applyAlignment="1">
      <alignment/>
    </xf>
    <xf numFmtId="0" fontId="32" fillId="0" borderId="0" xfId="0" applyFont="1" applyAlignment="1">
      <alignment horizontal="center"/>
    </xf>
    <xf numFmtId="0" fontId="31" fillId="0" borderId="0" xfId="0" applyFont="1" applyAlignment="1">
      <alignment horizontal="center"/>
    </xf>
    <xf numFmtId="0" fontId="32" fillId="33" borderId="0" xfId="0" applyFont="1" applyFill="1" applyAlignment="1">
      <alignment horizontal="center"/>
    </xf>
    <xf numFmtId="164" fontId="32" fillId="0" borderId="0" xfId="0" applyNumberFormat="1" applyFont="1" applyBorder="1" applyAlignment="1">
      <alignment horizontal="center"/>
    </xf>
    <xf numFmtId="0" fontId="32" fillId="33" borderId="0" xfId="0" applyFont="1" applyFill="1" applyBorder="1" applyAlignment="1">
      <alignment horizontal="center"/>
    </xf>
    <xf numFmtId="0" fontId="32" fillId="0" borderId="0" xfId="0" applyFont="1" applyBorder="1" applyAlignment="1">
      <alignment horizontal="center"/>
    </xf>
    <xf numFmtId="0" fontId="31" fillId="33" borderId="0" xfId="0" applyFont="1" applyFill="1" applyAlignment="1">
      <alignment/>
    </xf>
    <xf numFmtId="0" fontId="0" fillId="0" borderId="0" xfId="0" applyAlignment="1" applyProtection="1">
      <alignment/>
      <protection/>
    </xf>
    <xf numFmtId="0" fontId="13" fillId="0" borderId="0" xfId="0" applyFont="1" applyAlignment="1" applyProtection="1">
      <alignment horizontal="center"/>
      <protection/>
    </xf>
    <xf numFmtId="0" fontId="6" fillId="0" borderId="12" xfId="0" applyFont="1" applyBorder="1" applyAlignment="1" applyProtection="1">
      <alignment horizontal="centerContinuous" vertical="center"/>
      <protection/>
    </xf>
    <xf numFmtId="0" fontId="7" fillId="0" borderId="13" xfId="0" applyFont="1" applyBorder="1" applyAlignment="1" applyProtection="1">
      <alignment horizontal="centerContinuous" vertical="center"/>
      <protection/>
    </xf>
    <xf numFmtId="0" fontId="11" fillId="0" borderId="0" xfId="0" applyFont="1" applyAlignment="1" applyProtection="1">
      <alignment horizontal="left"/>
      <protection/>
    </xf>
    <xf numFmtId="1" fontId="16" fillId="0" borderId="0" xfId="0" applyNumberFormat="1" applyFont="1" applyAlignment="1" applyProtection="1">
      <alignment/>
      <protection/>
    </xf>
    <xf numFmtId="0" fontId="11" fillId="0" borderId="0" xfId="0" applyFont="1" applyAlignment="1" applyProtection="1">
      <alignment/>
      <protection/>
    </xf>
    <xf numFmtId="1" fontId="16" fillId="0" borderId="14" xfId="0" applyNumberFormat="1" applyFont="1" applyBorder="1" applyAlignment="1" applyProtection="1">
      <alignment/>
      <protection/>
    </xf>
    <xf numFmtId="1" fontId="16" fillId="0" borderId="15" xfId="0" applyNumberFormat="1" applyFont="1" applyBorder="1" applyAlignment="1" applyProtection="1">
      <alignment/>
      <protection/>
    </xf>
    <xf numFmtId="0" fontId="11" fillId="0" borderId="0" xfId="0" applyFont="1" applyAlignment="1" applyProtection="1">
      <alignment horizontal="center"/>
      <protection/>
    </xf>
    <xf numFmtId="1" fontId="13" fillId="0" borderId="0" xfId="0" applyNumberFormat="1" applyFont="1" applyAlignment="1" applyProtection="1">
      <alignment/>
      <protection/>
    </xf>
    <xf numFmtId="1" fontId="18" fillId="0" borderId="0" xfId="0" applyNumberFormat="1" applyFont="1" applyAlignment="1" applyProtection="1">
      <alignment/>
      <protection/>
    </xf>
    <xf numFmtId="1" fontId="16" fillId="0" borderId="16" xfId="0" applyNumberFormat="1" applyFont="1" applyBorder="1" applyAlignment="1" applyProtection="1">
      <alignment/>
      <protection/>
    </xf>
    <xf numFmtId="1" fontId="16" fillId="0" borderId="17" xfId="0" applyNumberFormat="1" applyFont="1" applyBorder="1" applyAlignment="1" applyProtection="1">
      <alignment/>
      <protection/>
    </xf>
    <xf numFmtId="1" fontId="16" fillId="0" borderId="18" xfId="0" applyNumberFormat="1" applyFont="1" applyBorder="1" applyAlignment="1" applyProtection="1">
      <alignment/>
      <protection/>
    </xf>
    <xf numFmtId="0" fontId="11" fillId="0" borderId="0" xfId="0" applyFont="1" applyAlignment="1" applyProtection="1">
      <alignment horizontal="centerContinuous"/>
      <protection/>
    </xf>
    <xf numFmtId="0" fontId="11" fillId="0" borderId="0" xfId="0" applyFont="1" applyAlignment="1" applyProtection="1">
      <alignment horizontal="right"/>
      <protection/>
    </xf>
    <xf numFmtId="0" fontId="19" fillId="0" borderId="0" xfId="0" applyFont="1" applyAlignment="1" applyProtection="1">
      <alignment horizontal="center"/>
      <protection/>
    </xf>
    <xf numFmtId="0" fontId="20" fillId="0" borderId="0" xfId="0" applyFont="1" applyAlignment="1" applyProtection="1">
      <alignment horizontal="center"/>
      <protection/>
    </xf>
    <xf numFmtId="0" fontId="11" fillId="33" borderId="0" xfId="0" applyFont="1" applyFill="1" applyAlignment="1" applyProtection="1">
      <alignment/>
      <protection/>
    </xf>
    <xf numFmtId="0" fontId="11" fillId="33" borderId="0" xfId="0" applyFont="1" applyFill="1" applyAlignment="1" applyProtection="1">
      <alignment horizontal="center"/>
      <protection/>
    </xf>
    <xf numFmtId="0" fontId="13" fillId="0" borderId="19" xfId="0" applyFont="1" applyBorder="1" applyAlignment="1" applyProtection="1">
      <alignment horizontal="center"/>
      <protection/>
    </xf>
    <xf numFmtId="1" fontId="11" fillId="0" borderId="10" xfId="0" applyNumberFormat="1" applyFont="1" applyBorder="1" applyAlignment="1" applyProtection="1">
      <alignment horizontal="center"/>
      <protection/>
    </xf>
    <xf numFmtId="165" fontId="11" fillId="0" borderId="10" xfId="0" applyNumberFormat="1" applyFont="1" applyBorder="1" applyAlignment="1" applyProtection="1">
      <alignment horizontal="center"/>
      <protection/>
    </xf>
    <xf numFmtId="166" fontId="11" fillId="0" borderId="10" xfId="0" applyNumberFormat="1" applyFont="1" applyBorder="1" applyAlignment="1" applyProtection="1">
      <alignment horizontal="center"/>
      <protection/>
    </xf>
    <xf numFmtId="1" fontId="11" fillId="0" borderId="11" xfId="0" applyNumberFormat="1" applyFont="1" applyBorder="1" applyAlignment="1" applyProtection="1">
      <alignment horizontal="center"/>
      <protection/>
    </xf>
    <xf numFmtId="165" fontId="11" fillId="0" borderId="11" xfId="0" applyNumberFormat="1" applyFont="1" applyBorder="1" applyAlignment="1" applyProtection="1">
      <alignment horizontal="center"/>
      <protection/>
    </xf>
    <xf numFmtId="166" fontId="11" fillId="0" borderId="11" xfId="0" applyNumberFormat="1" applyFont="1" applyBorder="1" applyAlignment="1" applyProtection="1">
      <alignment horizontal="center"/>
      <protection/>
    </xf>
    <xf numFmtId="2" fontId="11" fillId="0" borderId="0" xfId="0" applyNumberFormat="1" applyFont="1" applyAlignment="1" applyProtection="1">
      <alignment horizontal="center"/>
      <protection/>
    </xf>
    <xf numFmtId="0" fontId="26" fillId="0" borderId="19" xfId="0" applyFont="1" applyBorder="1" applyAlignment="1" applyProtection="1">
      <alignment horizontal="center"/>
      <protection/>
    </xf>
    <xf numFmtId="0" fontId="27" fillId="0" borderId="19" xfId="0" applyFont="1" applyBorder="1" applyAlignment="1" applyProtection="1">
      <alignment horizontal="center"/>
      <protection/>
    </xf>
    <xf numFmtId="0" fontId="2" fillId="0" borderId="0" xfId="0" applyFont="1" applyAlignment="1" applyProtection="1">
      <alignment horizontal="center"/>
      <protection/>
    </xf>
    <xf numFmtId="1" fontId="14" fillId="0" borderId="20" xfId="0" applyNumberFormat="1" applyFont="1" applyBorder="1" applyAlignment="1" applyProtection="1">
      <alignment horizontal="left" vertical="center"/>
      <protection locked="0"/>
    </xf>
    <xf numFmtId="1" fontId="15" fillId="0" borderId="0" xfId="0" applyNumberFormat="1" applyFont="1" applyAlignment="1" applyProtection="1">
      <alignment horizontal="left"/>
      <protection locked="0"/>
    </xf>
    <xf numFmtId="0" fontId="0" fillId="0" borderId="0" xfId="0" applyBorder="1" applyAlignment="1" applyProtection="1">
      <alignment/>
      <protection/>
    </xf>
    <xf numFmtId="0" fontId="23" fillId="0" borderId="0" xfId="0" applyFont="1" applyBorder="1" applyAlignment="1" applyProtection="1">
      <alignment horizontal="center"/>
      <protection locked="0"/>
    </xf>
    <xf numFmtId="0" fontId="5" fillId="0" borderId="0" xfId="0" applyFont="1" applyBorder="1" applyAlignment="1" applyProtection="1">
      <alignment horizontal="right"/>
      <protection/>
    </xf>
    <xf numFmtId="0" fontId="13" fillId="0" borderId="0" xfId="0" applyFont="1" applyBorder="1" applyAlignment="1" applyProtection="1">
      <alignment horizontal="center"/>
      <protection/>
    </xf>
    <xf numFmtId="0" fontId="20" fillId="0" borderId="0" xfId="0" applyFont="1" applyBorder="1" applyAlignment="1" applyProtection="1">
      <alignment horizontal="center"/>
      <protection/>
    </xf>
    <xf numFmtId="0" fontId="24" fillId="0" borderId="0" xfId="0" applyFont="1" applyBorder="1" applyAlignment="1" applyProtection="1">
      <alignment horizontal="center"/>
      <protection/>
    </xf>
    <xf numFmtId="0" fontId="13" fillId="0" borderId="0" xfId="0" applyFont="1" applyBorder="1" applyAlignment="1" applyProtection="1">
      <alignment/>
      <protection/>
    </xf>
    <xf numFmtId="0" fontId="11" fillId="0" borderId="0" xfId="0" applyFont="1" applyBorder="1" applyAlignment="1" applyProtection="1">
      <alignment horizontal="center"/>
      <protection/>
    </xf>
    <xf numFmtId="0" fontId="12" fillId="33" borderId="0" xfId="0" applyFont="1" applyFill="1" applyBorder="1" applyAlignment="1" applyProtection="1">
      <alignment horizontal="right"/>
      <protection/>
    </xf>
    <xf numFmtId="0" fontId="11" fillId="33" borderId="0" xfId="0" applyFont="1" applyFill="1" applyBorder="1" applyAlignment="1" applyProtection="1">
      <alignment/>
      <protection/>
    </xf>
    <xf numFmtId="0" fontId="11" fillId="0" borderId="0" xfId="0" applyFont="1" applyBorder="1" applyAlignment="1" applyProtection="1">
      <alignment/>
      <protection/>
    </xf>
    <xf numFmtId="0" fontId="4" fillId="33" borderId="0" xfId="0" applyFont="1" applyFill="1" applyBorder="1" applyAlignment="1" applyProtection="1">
      <alignment horizontal="centerContinuous"/>
      <protection/>
    </xf>
    <xf numFmtId="0" fontId="11" fillId="33" borderId="0" xfId="0" applyFont="1" applyFill="1" applyBorder="1" applyAlignment="1" applyProtection="1">
      <alignment horizontal="centerContinuous"/>
      <protection/>
    </xf>
    <xf numFmtId="0" fontId="22" fillId="33" borderId="0" xfId="0" applyFont="1" applyFill="1" applyBorder="1" applyAlignment="1" applyProtection="1">
      <alignment horizontal="centerContinuous"/>
      <protection/>
    </xf>
    <xf numFmtId="166" fontId="11" fillId="0" borderId="0" xfId="0" applyNumberFormat="1" applyFont="1" applyBorder="1" applyAlignment="1" applyProtection="1">
      <alignment horizontal="center"/>
      <protection/>
    </xf>
    <xf numFmtId="0" fontId="25" fillId="0" borderId="0" xfId="0" applyFont="1" applyBorder="1" applyAlignment="1" applyProtection="1">
      <alignment horizontal="centerContinuous"/>
      <protection/>
    </xf>
    <xf numFmtId="2" fontId="11" fillId="0" borderId="0" xfId="0" applyNumberFormat="1" applyFont="1" applyBorder="1" applyAlignment="1" applyProtection="1">
      <alignment horizontal="center"/>
      <protection/>
    </xf>
    <xf numFmtId="0" fontId="11" fillId="33" borderId="0" xfId="0" applyFont="1" applyFill="1" applyBorder="1" applyAlignment="1" applyProtection="1">
      <alignment horizontal="center"/>
      <protection/>
    </xf>
    <xf numFmtId="0" fontId="16" fillId="0" borderId="0" xfId="0" applyFont="1" applyBorder="1" applyAlignment="1" applyProtection="1">
      <alignment horizontal="left"/>
      <protection/>
    </xf>
    <xf numFmtId="167" fontId="11" fillId="0" borderId="0" xfId="0" applyNumberFormat="1" applyFont="1" applyAlignment="1">
      <alignment horizontal="center"/>
    </xf>
    <xf numFmtId="0" fontId="0" fillId="0" borderId="0" xfId="0" applyAlignment="1" applyProtection="1">
      <alignment horizontal="center"/>
      <protection/>
    </xf>
    <xf numFmtId="1" fontId="36" fillId="0" borderId="21" xfId="0" applyNumberFormat="1" applyFont="1" applyBorder="1" applyAlignment="1" applyProtection="1">
      <alignment horizontal="center"/>
      <protection locked="0"/>
    </xf>
    <xf numFmtId="1" fontId="36" fillId="0" borderId="15" xfId="0" applyNumberFormat="1" applyFont="1" applyBorder="1" applyAlignment="1" applyProtection="1">
      <alignment horizontal="center"/>
      <protection locked="0"/>
    </xf>
    <xf numFmtId="0" fontId="11" fillId="0" borderId="0" xfId="0" applyFont="1" applyBorder="1" applyAlignment="1" applyProtection="1" quotePrefix="1">
      <alignment/>
      <protection/>
    </xf>
    <xf numFmtId="0" fontId="16" fillId="0" borderId="0" xfId="0" applyFont="1" applyBorder="1" applyAlignment="1">
      <alignment vertical="top"/>
    </xf>
    <xf numFmtId="0" fontId="16" fillId="0" borderId="0" xfId="0" applyFont="1" applyBorder="1" applyAlignment="1">
      <alignment horizontal="center" vertical="top"/>
    </xf>
    <xf numFmtId="0" fontId="16" fillId="0" borderId="0" xfId="0" applyFont="1" applyBorder="1" applyAlignment="1">
      <alignment/>
    </xf>
    <xf numFmtId="1" fontId="37" fillId="0" borderId="0" xfId="0" applyNumberFormat="1" applyFont="1" applyBorder="1" applyAlignment="1">
      <alignment vertical="top"/>
    </xf>
    <xf numFmtId="0" fontId="11" fillId="0" borderId="0" xfId="0" applyNumberFormat="1" applyFont="1" applyBorder="1" applyAlignment="1">
      <alignment horizontal="right"/>
    </xf>
    <xf numFmtId="0" fontId="0" fillId="0" borderId="0" xfId="0" applyBorder="1" applyAlignment="1">
      <alignment/>
    </xf>
    <xf numFmtId="0" fontId="2" fillId="0" borderId="0" xfId="0" applyFont="1" applyBorder="1" applyAlignment="1">
      <alignment/>
    </xf>
    <xf numFmtId="0" fontId="0" fillId="0" borderId="0" xfId="0" applyBorder="1" applyAlignment="1">
      <alignment horizontal="right"/>
    </xf>
    <xf numFmtId="1" fontId="16" fillId="0" borderId="0" xfId="0" applyNumberFormat="1" applyFont="1" applyBorder="1" applyAlignment="1">
      <alignment vertical="top"/>
    </xf>
    <xf numFmtId="0" fontId="41" fillId="0" borderId="0" xfId="0" applyFont="1" applyAlignment="1">
      <alignment/>
    </xf>
    <xf numFmtId="0" fontId="39" fillId="0" borderId="0" xfId="0" applyFont="1" applyAlignment="1">
      <alignment/>
    </xf>
    <xf numFmtId="0" fontId="39" fillId="0" borderId="0" xfId="0" applyFont="1" applyAlignment="1">
      <alignment horizontal="left" vertical="top" wrapText="1"/>
    </xf>
    <xf numFmtId="0" fontId="43" fillId="0" borderId="0" xfId="0" applyFont="1" applyAlignment="1">
      <alignment/>
    </xf>
    <xf numFmtId="169" fontId="36" fillId="0" borderId="22" xfId="0" applyNumberFormat="1" applyFont="1" applyBorder="1" applyAlignment="1" applyProtection="1">
      <alignment horizontal="center"/>
      <protection locked="0"/>
    </xf>
    <xf numFmtId="0" fontId="41" fillId="0" borderId="0" xfId="0" applyFont="1" applyAlignment="1">
      <alignment horizontal="left"/>
    </xf>
    <xf numFmtId="0" fontId="23" fillId="0" borderId="0" xfId="0" applyFont="1" applyBorder="1" applyAlignment="1" applyProtection="1">
      <alignment horizontal="right"/>
      <protection locked="0"/>
    </xf>
    <xf numFmtId="2" fontId="23" fillId="0" borderId="0" xfId="0" applyNumberFormat="1" applyFont="1" applyBorder="1" applyAlignment="1" applyProtection="1">
      <alignment horizontal="center"/>
      <protection locked="0"/>
    </xf>
    <xf numFmtId="2" fontId="45" fillId="0" borderId="0" xfId="0" applyNumberFormat="1" applyFont="1" applyAlignment="1">
      <alignment horizontal="center"/>
    </xf>
    <xf numFmtId="1" fontId="49" fillId="0" borderId="20" xfId="0" applyNumberFormat="1" applyFont="1" applyBorder="1" applyAlignment="1" applyProtection="1">
      <alignment vertical="center"/>
      <protection/>
    </xf>
    <xf numFmtId="1" fontId="50" fillId="0" borderId="20" xfId="0" applyNumberFormat="1" applyFont="1" applyBorder="1" applyAlignment="1" applyProtection="1">
      <alignment vertical="center"/>
      <protection/>
    </xf>
    <xf numFmtId="1" fontId="51" fillId="0" borderId="23" xfId="0" applyNumberFormat="1" applyFont="1" applyBorder="1" applyAlignment="1" applyProtection="1">
      <alignment horizontal="centerContinuous" vertical="center" wrapText="1"/>
      <protection locked="0"/>
    </xf>
    <xf numFmtId="1" fontId="3" fillId="0" borderId="0" xfId="0" applyNumberFormat="1" applyFont="1" applyAlignment="1" applyProtection="1">
      <alignment/>
      <protection/>
    </xf>
    <xf numFmtId="1" fontId="50" fillId="0" borderId="0" xfId="0" applyNumberFormat="1" applyFont="1" applyAlignment="1" applyProtection="1">
      <alignment/>
      <protection/>
    </xf>
    <xf numFmtId="1" fontId="50" fillId="0" borderId="0" xfId="0" applyNumberFormat="1" applyFont="1" applyAlignment="1" applyProtection="1">
      <alignment horizontal="right"/>
      <protection/>
    </xf>
    <xf numFmtId="0" fontId="11" fillId="0" borderId="0" xfId="0" applyFont="1" applyBorder="1" applyAlignment="1" applyProtection="1">
      <alignment horizontal="right"/>
      <protection/>
    </xf>
    <xf numFmtId="0" fontId="16" fillId="33" borderId="0" xfId="0" applyFont="1" applyFill="1" applyBorder="1" applyAlignment="1" applyProtection="1">
      <alignment horizontal="left"/>
      <protection/>
    </xf>
    <xf numFmtId="0" fontId="8" fillId="0" borderId="0" xfId="0" applyFont="1" applyAlignment="1">
      <alignment/>
    </xf>
    <xf numFmtId="0" fontId="0" fillId="0" borderId="0" xfId="0" applyFont="1" applyAlignment="1">
      <alignment/>
    </xf>
    <xf numFmtId="0" fontId="11" fillId="0" borderId="0" xfId="0" applyFont="1" applyAlignment="1">
      <alignment horizontal="left"/>
    </xf>
    <xf numFmtId="0" fontId="39" fillId="0" borderId="0" xfId="0" applyFont="1" applyAlignment="1">
      <alignment horizontal="right" shrinkToFit="1"/>
    </xf>
    <xf numFmtId="0" fontId="0" fillId="0" borderId="0" xfId="0" applyAlignment="1">
      <alignment horizontal="left"/>
    </xf>
    <xf numFmtId="2" fontId="11" fillId="0" borderId="17" xfId="0" applyNumberFormat="1" applyFont="1" applyBorder="1" applyAlignment="1">
      <alignment horizontal="center"/>
    </xf>
    <xf numFmtId="2" fontId="11" fillId="0" borderId="24" xfId="0" applyNumberFormat="1" applyFont="1" applyBorder="1" applyAlignment="1">
      <alignment horizontal="center"/>
    </xf>
    <xf numFmtId="2" fontId="11" fillId="0" borderId="25" xfId="0" applyNumberFormat="1" applyFont="1" applyBorder="1" applyAlignment="1">
      <alignment horizontal="center"/>
    </xf>
    <xf numFmtId="2" fontId="11" fillId="0" borderId="26" xfId="0" applyNumberFormat="1" applyFont="1" applyBorder="1" applyAlignment="1">
      <alignment horizontal="center"/>
    </xf>
    <xf numFmtId="2" fontId="46" fillId="0" borderId="17" xfId="0" applyNumberFormat="1" applyFont="1" applyBorder="1" applyAlignment="1">
      <alignment horizontal="center"/>
    </xf>
    <xf numFmtId="2" fontId="46" fillId="0" borderId="24" xfId="0" applyNumberFormat="1" applyFont="1" applyBorder="1" applyAlignment="1">
      <alignment horizontal="center"/>
    </xf>
    <xf numFmtId="2" fontId="46" fillId="0" borderId="25" xfId="0" applyNumberFormat="1" applyFont="1" applyBorder="1" applyAlignment="1">
      <alignment horizontal="center"/>
    </xf>
    <xf numFmtId="2" fontId="46" fillId="0" borderId="26" xfId="0" applyNumberFormat="1" applyFont="1" applyBorder="1" applyAlignment="1">
      <alignment horizontal="center"/>
    </xf>
    <xf numFmtId="2" fontId="35" fillId="0" borderId="17" xfId="0" applyNumberFormat="1" applyFont="1" applyBorder="1" applyAlignment="1">
      <alignment horizontal="center"/>
    </xf>
    <xf numFmtId="2" fontId="35" fillId="0" borderId="27" xfId="0" applyNumberFormat="1" applyFont="1" applyBorder="1" applyAlignment="1">
      <alignment horizontal="center"/>
    </xf>
    <xf numFmtId="2" fontId="35" fillId="0" borderId="24" xfId="0" applyNumberFormat="1" applyFont="1" applyBorder="1" applyAlignment="1">
      <alignment horizontal="center"/>
    </xf>
    <xf numFmtId="2" fontId="35" fillId="0" borderId="25" xfId="0" applyNumberFormat="1" applyFont="1" applyBorder="1" applyAlignment="1">
      <alignment horizontal="center"/>
    </xf>
    <xf numFmtId="2" fontId="35" fillId="0" borderId="28" xfId="0" applyNumberFormat="1" applyFont="1" applyBorder="1" applyAlignment="1">
      <alignment horizontal="center"/>
    </xf>
    <xf numFmtId="2" fontId="35" fillId="0" borderId="26" xfId="0" applyNumberFormat="1" applyFont="1" applyBorder="1" applyAlignment="1">
      <alignment horizontal="center"/>
    </xf>
    <xf numFmtId="2" fontId="34" fillId="0" borderId="17" xfId="0" applyNumberFormat="1" applyFont="1" applyBorder="1" applyAlignment="1">
      <alignment horizontal="center"/>
    </xf>
    <xf numFmtId="2" fontId="34" fillId="0" borderId="27" xfId="0" applyNumberFormat="1" applyFont="1" applyBorder="1" applyAlignment="1">
      <alignment horizontal="center"/>
    </xf>
    <xf numFmtId="2" fontId="34" fillId="0" borderId="24" xfId="0" applyNumberFormat="1" applyFont="1" applyBorder="1" applyAlignment="1">
      <alignment horizontal="center"/>
    </xf>
    <xf numFmtId="2" fontId="34" fillId="0" borderId="25" xfId="0" applyNumberFormat="1" applyFont="1" applyBorder="1" applyAlignment="1">
      <alignment horizontal="center"/>
    </xf>
    <xf numFmtId="2" fontId="34" fillId="0" borderId="28" xfId="0" applyNumberFormat="1" applyFont="1" applyBorder="1" applyAlignment="1">
      <alignment horizontal="center"/>
    </xf>
    <xf numFmtId="2" fontId="34" fillId="0" borderId="26" xfId="0" applyNumberFormat="1" applyFont="1" applyBorder="1" applyAlignment="1">
      <alignment horizontal="center"/>
    </xf>
    <xf numFmtId="0" fontId="11" fillId="33" borderId="0" xfId="0" applyFont="1" applyFill="1" applyBorder="1" applyAlignment="1">
      <alignment horizontal="center" shrinkToFit="1"/>
    </xf>
    <xf numFmtId="0" fontId="0" fillId="0" borderId="0" xfId="0" applyFont="1" applyAlignment="1">
      <alignment/>
    </xf>
    <xf numFmtId="2" fontId="43" fillId="0" borderId="0" xfId="0" applyNumberFormat="1" applyFont="1" applyAlignment="1">
      <alignment horizontal="center"/>
    </xf>
    <xf numFmtId="2" fontId="59" fillId="0" borderId="0" xfId="0" applyNumberFormat="1" applyFont="1" applyAlignment="1">
      <alignment horizontal="center"/>
    </xf>
    <xf numFmtId="2" fontId="11" fillId="0" borderId="0" xfId="0" applyNumberFormat="1" applyFont="1" applyBorder="1" applyAlignment="1">
      <alignment horizontal="center"/>
    </xf>
    <xf numFmtId="2" fontId="45" fillId="0" borderId="0" xfId="0" applyNumberFormat="1" applyFont="1" applyBorder="1" applyAlignment="1">
      <alignment horizontal="center"/>
    </xf>
    <xf numFmtId="0" fontId="60" fillId="0" borderId="0" xfId="0" applyFont="1" applyAlignment="1">
      <alignment/>
    </xf>
    <xf numFmtId="0" fontId="61" fillId="0" borderId="0" xfId="0" applyFont="1" applyAlignment="1">
      <alignment horizontal="center"/>
    </xf>
    <xf numFmtId="0" fontId="62" fillId="0" borderId="0" xfId="0" applyFont="1" applyAlignment="1">
      <alignment/>
    </xf>
    <xf numFmtId="1" fontId="63" fillId="0" borderId="0" xfId="0" applyNumberFormat="1" applyFont="1" applyBorder="1" applyAlignment="1">
      <alignment vertical="top"/>
    </xf>
    <xf numFmtId="0" fontId="3" fillId="0" borderId="0" xfId="0" applyFont="1" applyAlignment="1">
      <alignment/>
    </xf>
    <xf numFmtId="0" fontId="8" fillId="0" borderId="0" xfId="0" applyFont="1" applyBorder="1" applyAlignment="1">
      <alignment/>
    </xf>
    <xf numFmtId="0" fontId="2" fillId="33" borderId="0" xfId="0" applyFont="1" applyFill="1" applyBorder="1" applyAlignment="1">
      <alignment/>
    </xf>
    <xf numFmtId="0" fontId="0" fillId="0" borderId="0" xfId="0" applyFont="1" applyAlignment="1">
      <alignment/>
    </xf>
    <xf numFmtId="0" fontId="0" fillId="0" borderId="0" xfId="0" applyFont="1" applyAlignment="1">
      <alignment horizontal="right"/>
    </xf>
    <xf numFmtId="165" fontId="11" fillId="0" borderId="0" xfId="0" applyNumberFormat="1" applyFont="1" applyBorder="1" applyAlignment="1">
      <alignment horizontal="center"/>
    </xf>
    <xf numFmtId="167" fontId="11" fillId="0" borderId="0" xfId="0" applyNumberFormat="1" applyFont="1" applyBorder="1" applyAlignment="1">
      <alignment horizontal="center"/>
    </xf>
    <xf numFmtId="0" fontId="8" fillId="0" borderId="0" xfId="0" applyFont="1" applyBorder="1" applyAlignment="1">
      <alignment/>
    </xf>
    <xf numFmtId="1" fontId="11" fillId="0" borderId="0" xfId="0" applyNumberFormat="1" applyFont="1" applyBorder="1" applyAlignment="1">
      <alignment horizontal="center"/>
    </xf>
    <xf numFmtId="166" fontId="11" fillId="0" borderId="0" xfId="0" applyNumberFormat="1" applyFont="1" applyBorder="1" applyAlignment="1">
      <alignment horizontal="center"/>
    </xf>
    <xf numFmtId="0" fontId="58" fillId="0" borderId="0" xfId="0" applyFont="1" applyBorder="1" applyAlignment="1">
      <alignment/>
    </xf>
    <xf numFmtId="0" fontId="43" fillId="33" borderId="0" xfId="0" applyFont="1" applyFill="1" applyBorder="1" applyAlignment="1">
      <alignment horizontal="center" shrinkToFit="1"/>
    </xf>
    <xf numFmtId="0" fontId="3" fillId="0" borderId="0" xfId="0" applyFont="1" applyAlignment="1">
      <alignment horizontal="right"/>
    </xf>
    <xf numFmtId="0" fontId="0" fillId="0" borderId="0" xfId="0" applyFont="1" applyAlignment="1">
      <alignment shrinkToFit="1"/>
    </xf>
    <xf numFmtId="0" fontId="3" fillId="0" borderId="0" xfId="0" applyFont="1" applyBorder="1" applyAlignment="1" quotePrefix="1">
      <alignment horizontal="left" shrinkToFit="1"/>
    </xf>
    <xf numFmtId="0" fontId="11" fillId="33" borderId="29" xfId="0" applyFont="1" applyFill="1" applyBorder="1" applyAlignment="1">
      <alignment horizontal="center"/>
    </xf>
    <xf numFmtId="0" fontId="11" fillId="33" borderId="30" xfId="0" applyFont="1" applyFill="1" applyBorder="1" applyAlignment="1">
      <alignment horizontal="center"/>
    </xf>
    <xf numFmtId="2" fontId="11" fillId="0" borderId="31" xfId="0" applyNumberFormat="1" applyFont="1" applyBorder="1" applyAlignment="1">
      <alignment horizontal="center"/>
    </xf>
    <xf numFmtId="2" fontId="11" fillId="0" borderId="32" xfId="0" applyNumberFormat="1" applyFont="1" applyBorder="1" applyAlignment="1">
      <alignment horizontal="center"/>
    </xf>
    <xf numFmtId="0" fontId="3" fillId="0" borderId="0" xfId="0" applyFont="1" applyAlignment="1">
      <alignment horizontal="left"/>
    </xf>
    <xf numFmtId="166" fontId="0" fillId="0" borderId="0" xfId="0" applyNumberFormat="1" applyBorder="1" applyAlignment="1">
      <alignment/>
    </xf>
    <xf numFmtId="166" fontId="0" fillId="0" borderId="0" xfId="0" applyNumberFormat="1" applyAlignment="1">
      <alignment/>
    </xf>
    <xf numFmtId="166" fontId="11" fillId="0" borderId="0" xfId="0" applyNumberFormat="1" applyFont="1" applyBorder="1" applyAlignment="1">
      <alignment horizontal="center"/>
    </xf>
    <xf numFmtId="166" fontId="11" fillId="0" borderId="31" xfId="0" applyNumberFormat="1" applyFont="1" applyBorder="1" applyAlignment="1">
      <alignment horizontal="center"/>
    </xf>
    <xf numFmtId="166" fontId="11" fillId="0" borderId="32" xfId="0" applyNumberFormat="1" applyFont="1" applyBorder="1" applyAlignment="1">
      <alignment horizontal="center"/>
    </xf>
    <xf numFmtId="167" fontId="35" fillId="0" borderId="0" xfId="0" applyNumberFormat="1" applyFont="1" applyBorder="1" applyAlignment="1">
      <alignment horizontal="center"/>
    </xf>
    <xf numFmtId="1" fontId="33" fillId="0" borderId="0" xfId="0" applyNumberFormat="1" applyFont="1" applyBorder="1" applyAlignment="1">
      <alignment horizontal="center"/>
    </xf>
    <xf numFmtId="1" fontId="35" fillId="0" borderId="0" xfId="0" applyNumberFormat="1" applyFont="1" applyBorder="1" applyAlignment="1">
      <alignment horizontal="center"/>
    </xf>
    <xf numFmtId="2" fontId="68" fillId="0" borderId="0" xfId="0" applyNumberFormat="1" applyFont="1" applyAlignment="1">
      <alignment horizontal="center"/>
    </xf>
    <xf numFmtId="0" fontId="69" fillId="0" borderId="0" xfId="0" applyFont="1" applyBorder="1" applyAlignment="1">
      <alignment/>
    </xf>
    <xf numFmtId="0" fontId="69" fillId="0" borderId="0" xfId="0" applyFont="1" applyAlignment="1">
      <alignment/>
    </xf>
    <xf numFmtId="0" fontId="58" fillId="0" borderId="29" xfId="0" applyFont="1" applyBorder="1" applyAlignment="1">
      <alignment/>
    </xf>
    <xf numFmtId="0" fontId="58" fillId="0" borderId="30" xfId="0" applyFont="1" applyBorder="1" applyAlignment="1">
      <alignment/>
    </xf>
    <xf numFmtId="167" fontId="11" fillId="0" borderId="0" xfId="0" applyNumberFormat="1" applyFont="1" applyBorder="1" applyAlignment="1">
      <alignment horizontal="center"/>
    </xf>
    <xf numFmtId="167" fontId="2" fillId="33" borderId="0" xfId="0" applyNumberFormat="1" applyFont="1" applyFill="1" applyAlignment="1">
      <alignment/>
    </xf>
    <xf numFmtId="1" fontId="11" fillId="0" borderId="20" xfId="0" applyNumberFormat="1" applyFont="1" applyBorder="1" applyAlignment="1" applyProtection="1">
      <alignment vertical="center"/>
      <protection/>
    </xf>
    <xf numFmtId="1" fontId="11" fillId="0" borderId="0" xfId="0" applyNumberFormat="1" applyFont="1" applyBorder="1" applyAlignment="1" applyProtection="1">
      <alignment/>
      <protection/>
    </xf>
    <xf numFmtId="0" fontId="0" fillId="0" borderId="33" xfId="0" applyBorder="1" applyAlignment="1" applyProtection="1">
      <alignment/>
      <protection/>
    </xf>
    <xf numFmtId="1" fontId="63" fillId="0" borderId="34" xfId="0" applyNumberFormat="1" applyFont="1" applyBorder="1" applyAlignment="1">
      <alignment vertical="top"/>
    </xf>
    <xf numFmtId="1" fontId="63" fillId="0" borderId="20" xfId="0" applyNumberFormat="1" applyFont="1" applyBorder="1" applyAlignment="1">
      <alignment vertical="top"/>
    </xf>
    <xf numFmtId="1" fontId="37" fillId="0" borderId="20" xfId="0" applyNumberFormat="1" applyFont="1" applyBorder="1" applyAlignment="1">
      <alignment vertical="top"/>
    </xf>
    <xf numFmtId="0" fontId="8" fillId="0" borderId="20" xfId="0" applyFont="1" applyBorder="1" applyAlignment="1">
      <alignment/>
    </xf>
    <xf numFmtId="0" fontId="2" fillId="33" borderId="20" xfId="0" applyFont="1" applyFill="1" applyBorder="1" applyAlignment="1">
      <alignment/>
    </xf>
    <xf numFmtId="0" fontId="16" fillId="0" borderId="20" xfId="0" applyFont="1" applyBorder="1" applyAlignment="1">
      <alignment vertical="top"/>
    </xf>
    <xf numFmtId="0" fontId="16" fillId="0" borderId="20" xfId="0" applyFont="1" applyBorder="1" applyAlignment="1">
      <alignment horizontal="center" vertical="top"/>
    </xf>
    <xf numFmtId="0" fontId="16" fillId="0" borderId="20" xfId="0" applyFont="1" applyBorder="1" applyAlignment="1">
      <alignment/>
    </xf>
    <xf numFmtId="0" fontId="28" fillId="0" borderId="20" xfId="0" applyFont="1" applyBorder="1" applyAlignment="1">
      <alignment horizontal="left" shrinkToFit="1"/>
    </xf>
    <xf numFmtId="0" fontId="0" fillId="0" borderId="20" xfId="0" applyBorder="1" applyAlignment="1">
      <alignment/>
    </xf>
    <xf numFmtId="0" fontId="2" fillId="0" borderId="20" xfId="0" applyFont="1" applyBorder="1" applyAlignment="1">
      <alignment/>
    </xf>
    <xf numFmtId="1" fontId="16" fillId="0" borderId="20" xfId="0" applyNumberFormat="1" applyFont="1" applyBorder="1" applyAlignment="1">
      <alignment vertical="top"/>
    </xf>
    <xf numFmtId="0" fontId="69" fillId="0" borderId="20" xfId="0" applyFont="1" applyBorder="1" applyAlignment="1">
      <alignment/>
    </xf>
    <xf numFmtId="166" fontId="0" fillId="0" borderId="20" xfId="0" applyNumberFormat="1" applyBorder="1" applyAlignment="1">
      <alignment/>
    </xf>
    <xf numFmtId="0" fontId="0" fillId="0" borderId="20" xfId="0" applyFont="1" applyBorder="1" applyAlignment="1">
      <alignment/>
    </xf>
    <xf numFmtId="0" fontId="16" fillId="0" borderId="35" xfId="0" applyFont="1" applyBorder="1" applyAlignment="1">
      <alignment/>
    </xf>
    <xf numFmtId="1" fontId="63" fillId="0" borderId="16" xfId="0" applyNumberFormat="1" applyFont="1" applyBorder="1" applyAlignment="1">
      <alignment vertical="top"/>
    </xf>
    <xf numFmtId="0" fontId="16" fillId="34" borderId="33" xfId="0" applyFont="1" applyFill="1" applyBorder="1" applyAlignment="1">
      <alignment/>
    </xf>
    <xf numFmtId="0" fontId="63" fillId="0" borderId="36" xfId="0" applyFont="1" applyBorder="1" applyAlignment="1">
      <alignment vertical="top"/>
    </xf>
    <xf numFmtId="0" fontId="63" fillId="0" borderId="37" xfId="0" applyFont="1" applyBorder="1" applyAlignment="1">
      <alignment vertical="top"/>
    </xf>
    <xf numFmtId="1" fontId="38" fillId="34" borderId="37" xfId="0" applyNumberFormat="1" applyFont="1" applyFill="1" applyBorder="1" applyAlignment="1">
      <alignment vertical="top"/>
    </xf>
    <xf numFmtId="0" fontId="8" fillId="0" borderId="37" xfId="0" applyFont="1" applyBorder="1" applyAlignment="1">
      <alignment/>
    </xf>
    <xf numFmtId="0" fontId="2" fillId="33" borderId="37" xfId="0" applyFont="1" applyFill="1" applyBorder="1" applyAlignment="1">
      <alignment/>
    </xf>
    <xf numFmtId="0" fontId="16" fillId="34" borderId="37" xfId="0" applyFont="1" applyFill="1" applyBorder="1" applyAlignment="1">
      <alignment vertical="top"/>
    </xf>
    <xf numFmtId="0" fontId="16" fillId="34" borderId="37" xfId="0" applyFont="1" applyFill="1" applyBorder="1" applyAlignment="1">
      <alignment horizontal="center" vertical="top"/>
    </xf>
    <xf numFmtId="0" fontId="16" fillId="34" borderId="37" xfId="0" applyFont="1" applyFill="1" applyBorder="1" applyAlignment="1">
      <alignment/>
    </xf>
    <xf numFmtId="0" fontId="0" fillId="0" borderId="37" xfId="0" applyBorder="1" applyAlignment="1">
      <alignment/>
    </xf>
    <xf numFmtId="169" fontId="11" fillId="0" borderId="37" xfId="0" applyNumberFormat="1" applyFont="1" applyBorder="1" applyAlignment="1">
      <alignment horizontal="right"/>
    </xf>
    <xf numFmtId="169" fontId="11" fillId="0" borderId="37" xfId="0" applyNumberFormat="1" applyFont="1" applyBorder="1" applyAlignment="1">
      <alignment horizontal="left"/>
    </xf>
    <xf numFmtId="0" fontId="2" fillId="0" borderId="37" xfId="0" applyFont="1" applyBorder="1" applyAlignment="1">
      <alignment/>
    </xf>
    <xf numFmtId="1" fontId="16" fillId="0" borderId="37" xfId="0" applyNumberFormat="1" applyFont="1" applyBorder="1" applyAlignment="1">
      <alignment vertical="top"/>
    </xf>
    <xf numFmtId="0" fontId="16" fillId="0" borderId="37" xfId="0" applyFont="1" applyBorder="1" applyAlignment="1">
      <alignment/>
    </xf>
    <xf numFmtId="0" fontId="69" fillId="0" borderId="37" xfId="0" applyFont="1" applyBorder="1" applyAlignment="1">
      <alignment/>
    </xf>
    <xf numFmtId="166" fontId="0" fillId="0" borderId="37" xfId="0" applyNumberFormat="1" applyBorder="1" applyAlignment="1">
      <alignment/>
    </xf>
    <xf numFmtId="0" fontId="0" fillId="0" borderId="37" xfId="0" applyBorder="1" applyAlignment="1">
      <alignment horizontal="right"/>
    </xf>
    <xf numFmtId="169" fontId="0" fillId="0" borderId="37" xfId="0" applyNumberFormat="1" applyBorder="1" applyAlignment="1">
      <alignment horizontal="left"/>
    </xf>
    <xf numFmtId="0" fontId="16" fillId="34" borderId="38" xfId="0" applyFont="1" applyFill="1" applyBorder="1" applyAlignment="1">
      <alignment/>
    </xf>
    <xf numFmtId="0" fontId="8" fillId="0" borderId="0" xfId="0" applyFont="1" applyBorder="1" applyAlignment="1">
      <alignment/>
    </xf>
    <xf numFmtId="0" fontId="3" fillId="0" borderId="0" xfId="0" applyFont="1" applyBorder="1" applyAlignment="1" quotePrefix="1">
      <alignment/>
    </xf>
    <xf numFmtId="0" fontId="11" fillId="33" borderId="0" xfId="0" applyFont="1" applyFill="1" applyBorder="1" applyAlignment="1" quotePrefix="1">
      <alignment horizontal="left" shrinkToFit="1"/>
    </xf>
    <xf numFmtId="0" fontId="11" fillId="33" borderId="0" xfId="0" applyFont="1" applyFill="1" applyBorder="1" applyAlignment="1" quotePrefix="1">
      <alignment horizontal="left"/>
    </xf>
    <xf numFmtId="0" fontId="3" fillId="0" borderId="0" xfId="0" applyFont="1" applyBorder="1" applyAlignment="1" quotePrefix="1">
      <alignment shrinkToFit="1"/>
    </xf>
    <xf numFmtId="0" fontId="0" fillId="0" borderId="0" xfId="0" applyFont="1" applyBorder="1" applyAlignment="1">
      <alignment shrinkToFit="1"/>
    </xf>
    <xf numFmtId="0" fontId="70" fillId="35" borderId="0" xfId="0" applyFont="1" applyFill="1" applyAlignment="1" applyProtection="1">
      <alignment horizontal="centerContinuous"/>
      <protection/>
    </xf>
    <xf numFmtId="0" fontId="0" fillId="0" borderId="0" xfId="0" applyFont="1" applyAlignment="1">
      <alignment horizontal="center" shrinkToFit="1"/>
    </xf>
    <xf numFmtId="0" fontId="0" fillId="0" borderId="0" xfId="0" applyBorder="1" applyAlignment="1">
      <alignment horizontal="left"/>
    </xf>
    <xf numFmtId="0" fontId="0" fillId="0" borderId="0" xfId="0" applyFont="1" applyAlignment="1">
      <alignment horizontal="left" shrinkToFit="1"/>
    </xf>
    <xf numFmtId="1" fontId="35" fillId="0" borderId="0" xfId="0" applyNumberFormat="1" applyFont="1" applyBorder="1" applyAlignment="1">
      <alignment horizontal="center"/>
    </xf>
    <xf numFmtId="2" fontId="17" fillId="0" borderId="0" xfId="0" applyNumberFormat="1" applyFont="1" applyBorder="1" applyAlignment="1">
      <alignment horizontal="center"/>
    </xf>
    <xf numFmtId="167" fontId="17" fillId="0" borderId="0" xfId="0" applyNumberFormat="1" applyFont="1" applyBorder="1" applyAlignment="1">
      <alignment horizontal="center"/>
    </xf>
    <xf numFmtId="1" fontId="17" fillId="0" borderId="0" xfId="0" applyNumberFormat="1" applyFont="1" applyBorder="1" applyAlignment="1">
      <alignment horizontal="center"/>
    </xf>
    <xf numFmtId="166" fontId="17" fillId="0" borderId="0" xfId="0" applyNumberFormat="1" applyFont="1" applyBorder="1" applyAlignment="1">
      <alignment horizontal="center"/>
    </xf>
    <xf numFmtId="2" fontId="17" fillId="0" borderId="31" xfId="0" applyNumberFormat="1" applyFont="1" applyBorder="1" applyAlignment="1">
      <alignment horizontal="center"/>
    </xf>
    <xf numFmtId="2" fontId="17" fillId="0" borderId="32" xfId="0" applyNumberFormat="1" applyFont="1" applyBorder="1" applyAlignment="1">
      <alignment horizontal="center"/>
    </xf>
    <xf numFmtId="0" fontId="71" fillId="0" borderId="0" xfId="0" applyFont="1" applyAlignment="1">
      <alignment horizontal="center"/>
    </xf>
    <xf numFmtId="167" fontId="17" fillId="0" borderId="39" xfId="0" applyNumberFormat="1" applyFont="1" applyBorder="1" applyAlignment="1">
      <alignment horizontal="center"/>
    </xf>
    <xf numFmtId="1" fontId="17" fillId="0" borderId="39" xfId="0" applyNumberFormat="1" applyFont="1" applyBorder="1" applyAlignment="1">
      <alignment horizontal="center"/>
    </xf>
    <xf numFmtId="2" fontId="17" fillId="0" borderId="40" xfId="0" applyNumberFormat="1" applyFont="1" applyBorder="1" applyAlignment="1">
      <alignment horizontal="center"/>
    </xf>
    <xf numFmtId="2" fontId="17" fillId="0" borderId="41" xfId="0" applyNumberFormat="1" applyFont="1" applyBorder="1" applyAlignment="1">
      <alignment horizontal="center"/>
    </xf>
    <xf numFmtId="0" fontId="29" fillId="0" borderId="0" xfId="0" applyFont="1" applyBorder="1" applyAlignment="1">
      <alignment horizontal="left"/>
    </xf>
    <xf numFmtId="0" fontId="0" fillId="0" borderId="0" xfId="0" applyFont="1" applyBorder="1" applyAlignment="1">
      <alignment horizontal="right"/>
    </xf>
    <xf numFmtId="2" fontId="11" fillId="0" borderId="0" xfId="0" applyNumberFormat="1" applyFont="1" applyBorder="1" applyAlignment="1">
      <alignment horizontal="right"/>
    </xf>
    <xf numFmtId="2" fontId="11" fillId="0" borderId="0" xfId="0" applyNumberFormat="1" applyFont="1" applyBorder="1" applyAlignment="1">
      <alignment horizontal="left"/>
    </xf>
    <xf numFmtId="0" fontId="9" fillId="0" borderId="0" xfId="0" applyFont="1" applyBorder="1" applyAlignment="1">
      <alignment horizontal="center"/>
    </xf>
    <xf numFmtId="0" fontId="71" fillId="0" borderId="0" xfId="0" applyFont="1" applyBorder="1" applyAlignment="1">
      <alignment horizontal="center"/>
    </xf>
    <xf numFmtId="0" fontId="3" fillId="0" borderId="31" xfId="0" applyFont="1" applyBorder="1" applyAlignment="1">
      <alignment/>
    </xf>
    <xf numFmtId="0" fontId="8" fillId="0" borderId="31" xfId="0" applyFont="1" applyBorder="1" applyAlignment="1">
      <alignment/>
    </xf>
    <xf numFmtId="0" fontId="2" fillId="33" borderId="31" xfId="0" applyFont="1" applyFill="1" applyBorder="1" applyAlignment="1">
      <alignment/>
    </xf>
    <xf numFmtId="2" fontId="35" fillId="0" borderId="31" xfId="0" applyNumberFormat="1" applyFont="1" applyBorder="1" applyAlignment="1">
      <alignment horizontal="center"/>
    </xf>
    <xf numFmtId="2" fontId="17" fillId="0" borderId="42" xfId="0" applyNumberFormat="1" applyFont="1" applyBorder="1" applyAlignment="1">
      <alignment horizontal="center"/>
    </xf>
    <xf numFmtId="0" fontId="3" fillId="0" borderId="43" xfId="0" applyFont="1" applyBorder="1" applyAlignment="1">
      <alignment horizontal="center"/>
    </xf>
    <xf numFmtId="0" fontId="64" fillId="0" borderId="44" xfId="0" applyFont="1" applyBorder="1" applyAlignment="1">
      <alignment horizontal="center" vertical="center"/>
    </xf>
    <xf numFmtId="0" fontId="3" fillId="0" borderId="44" xfId="0" applyFont="1" applyBorder="1" applyAlignment="1">
      <alignment horizontal="center" shrinkToFit="1"/>
    </xf>
    <xf numFmtId="0" fontId="3" fillId="0" borderId="44" xfId="0" applyFont="1" applyBorder="1" applyAlignment="1">
      <alignment horizontal="center"/>
    </xf>
    <xf numFmtId="0" fontId="3" fillId="0" borderId="45" xfId="0" applyFont="1" applyBorder="1" applyAlignment="1">
      <alignment horizontal="center"/>
    </xf>
    <xf numFmtId="2" fontId="35" fillId="0" borderId="0" xfId="0" applyNumberFormat="1" applyFont="1" applyBorder="1" applyAlignment="1">
      <alignment horizontal="center"/>
    </xf>
    <xf numFmtId="0" fontId="0" fillId="34" borderId="0" xfId="0" applyFill="1" applyAlignment="1" applyProtection="1">
      <alignment/>
      <protection/>
    </xf>
    <xf numFmtId="0" fontId="11" fillId="0" borderId="0" xfId="0" applyFont="1" applyBorder="1" applyAlignment="1" applyProtection="1">
      <alignment/>
      <protection/>
    </xf>
    <xf numFmtId="0" fontId="21" fillId="0" borderId="0" xfId="0" applyFont="1" applyBorder="1" applyAlignment="1" applyProtection="1">
      <alignment/>
      <protection/>
    </xf>
    <xf numFmtId="1" fontId="18" fillId="0" borderId="0" xfId="0" applyNumberFormat="1" applyFont="1" applyBorder="1" applyAlignment="1" applyProtection="1">
      <alignment horizontal="left"/>
      <protection/>
    </xf>
    <xf numFmtId="1" fontId="50" fillId="0" borderId="0" xfId="0" applyNumberFormat="1" applyFont="1" applyBorder="1" applyAlignment="1" applyProtection="1">
      <alignment horizontal="right"/>
      <protection/>
    </xf>
    <xf numFmtId="1" fontId="50" fillId="0" borderId="0" xfId="0" applyNumberFormat="1" applyFont="1" applyBorder="1" applyAlignment="1" applyProtection="1">
      <alignment/>
      <protection/>
    </xf>
    <xf numFmtId="1" fontId="36" fillId="0" borderId="16" xfId="0" applyNumberFormat="1" applyFont="1" applyBorder="1" applyAlignment="1" applyProtection="1">
      <alignment horizontal="center"/>
      <protection locked="0"/>
    </xf>
    <xf numFmtId="1" fontId="36" fillId="0" borderId="46" xfId="0" applyNumberFormat="1" applyFont="1" applyBorder="1" applyAlignment="1" applyProtection="1">
      <alignment horizontal="center"/>
      <protection locked="0"/>
    </xf>
    <xf numFmtId="1" fontId="36" fillId="0" borderId="33" xfId="0" applyNumberFormat="1" applyFont="1" applyBorder="1" applyAlignment="1" applyProtection="1">
      <alignment horizontal="center"/>
      <protection locked="0"/>
    </xf>
    <xf numFmtId="0" fontId="18" fillId="0" borderId="17" xfId="0" applyFont="1" applyBorder="1" applyAlignment="1" applyProtection="1">
      <alignment horizontal="left"/>
      <protection/>
    </xf>
    <xf numFmtId="0" fontId="11" fillId="0" borderId="27" xfId="0" applyFont="1" applyBorder="1" applyAlignment="1" applyProtection="1">
      <alignment/>
      <protection/>
    </xf>
    <xf numFmtId="0" fontId="23" fillId="0" borderId="27" xfId="0" applyFont="1" applyBorder="1" applyAlignment="1" applyProtection="1">
      <alignment horizontal="right"/>
      <protection locked="0"/>
    </xf>
    <xf numFmtId="0" fontId="0" fillId="0" borderId="27" xfId="0" applyBorder="1" applyAlignment="1" applyProtection="1">
      <alignment/>
      <protection/>
    </xf>
    <xf numFmtId="0" fontId="0" fillId="0" borderId="24" xfId="0" applyBorder="1" applyAlignment="1" applyProtection="1">
      <alignment/>
      <protection/>
    </xf>
    <xf numFmtId="0" fontId="0" fillId="0" borderId="39" xfId="0" applyBorder="1" applyAlignment="1" applyProtection="1">
      <alignment/>
      <protection/>
    </xf>
    <xf numFmtId="0" fontId="12" fillId="33" borderId="22" xfId="0" applyFont="1" applyFill="1" applyBorder="1" applyAlignment="1" applyProtection="1">
      <alignment horizontal="left"/>
      <protection/>
    </xf>
    <xf numFmtId="0" fontId="21" fillId="0" borderId="39" xfId="0" applyFont="1" applyBorder="1" applyAlignment="1" applyProtection="1">
      <alignment/>
      <protection/>
    </xf>
    <xf numFmtId="0" fontId="11" fillId="0" borderId="22" xfId="0" applyFont="1" applyBorder="1" applyAlignment="1" applyProtection="1">
      <alignment horizontal="right"/>
      <protection/>
    </xf>
    <xf numFmtId="0" fontId="2" fillId="0" borderId="0" xfId="0" applyFont="1" applyBorder="1" applyAlignment="1" applyProtection="1">
      <alignment horizontal="center"/>
      <protection/>
    </xf>
    <xf numFmtId="0" fontId="11" fillId="0" borderId="39" xfId="0" applyFont="1" applyBorder="1" applyAlignment="1" applyProtection="1">
      <alignment/>
      <protection/>
    </xf>
    <xf numFmtId="0" fontId="2" fillId="0" borderId="0" xfId="0" applyFont="1" applyBorder="1" applyAlignment="1" applyProtection="1">
      <alignment horizontal="center" shrinkToFit="1"/>
      <protection/>
    </xf>
    <xf numFmtId="0" fontId="11" fillId="0" borderId="22" xfId="0" applyFont="1" applyBorder="1" applyAlignment="1" applyProtection="1">
      <alignment/>
      <protection/>
    </xf>
    <xf numFmtId="0" fontId="13" fillId="0" borderId="22" xfId="0" applyFont="1" applyBorder="1" applyAlignment="1" applyProtection="1">
      <alignment horizontal="right"/>
      <protection/>
    </xf>
    <xf numFmtId="0" fontId="11" fillId="33" borderId="39" xfId="0" applyFont="1" applyFill="1" applyBorder="1" applyAlignment="1" applyProtection="1">
      <alignment/>
      <protection/>
    </xf>
    <xf numFmtId="0" fontId="11" fillId="33" borderId="39" xfId="0" applyFont="1" applyFill="1" applyBorder="1" applyAlignment="1" applyProtection="1">
      <alignment horizontal="centerContinuous"/>
      <protection/>
    </xf>
    <xf numFmtId="0" fontId="13" fillId="0" borderId="39" xfId="0" applyFont="1" applyBorder="1" applyAlignment="1" applyProtection="1">
      <alignment horizontal="centerContinuous"/>
      <protection/>
    </xf>
    <xf numFmtId="0" fontId="11" fillId="33" borderId="22" xfId="0" applyFont="1" applyFill="1" applyBorder="1" applyAlignment="1" applyProtection="1">
      <alignment/>
      <protection/>
    </xf>
    <xf numFmtId="0" fontId="11" fillId="0" borderId="25" xfId="0" applyFont="1" applyBorder="1" applyAlignment="1" applyProtection="1">
      <alignment/>
      <protection/>
    </xf>
    <xf numFmtId="0" fontId="11" fillId="0" borderId="28" xfId="0" applyFont="1" applyBorder="1" applyAlignment="1" applyProtection="1">
      <alignment/>
      <protection/>
    </xf>
    <xf numFmtId="0" fontId="12" fillId="0" borderId="19" xfId="0" applyFont="1" applyBorder="1" applyAlignment="1" applyProtection="1">
      <alignment horizontal="center"/>
      <protection/>
    </xf>
    <xf numFmtId="0" fontId="23" fillId="0" borderId="19" xfId="0" applyNumberFormat="1" applyFont="1" applyBorder="1" applyAlignment="1" applyProtection="1">
      <alignment horizontal="center"/>
      <protection locked="0"/>
    </xf>
    <xf numFmtId="0" fontId="12" fillId="0" borderId="28" xfId="0" applyFont="1" applyBorder="1" applyAlignment="1" applyProtection="1">
      <alignment horizontal="left"/>
      <protection/>
    </xf>
    <xf numFmtId="0" fontId="12" fillId="0" borderId="26" xfId="0" applyFont="1" applyBorder="1" applyAlignment="1" applyProtection="1">
      <alignment horizontal="left"/>
      <protection/>
    </xf>
    <xf numFmtId="0" fontId="18" fillId="0" borderId="22" xfId="0" applyFont="1" applyBorder="1" applyAlignment="1" applyProtection="1">
      <alignment horizontal="left"/>
      <protection/>
    </xf>
    <xf numFmtId="0" fontId="12" fillId="33" borderId="0" xfId="0" applyFont="1" applyFill="1" applyBorder="1" applyAlignment="1" applyProtection="1">
      <alignment horizontal="left"/>
      <protection/>
    </xf>
    <xf numFmtId="0" fontId="0" fillId="0" borderId="19" xfId="0" applyBorder="1" applyAlignment="1" applyProtection="1">
      <alignment/>
      <protection/>
    </xf>
    <xf numFmtId="0" fontId="0" fillId="0" borderId="10" xfId="0" applyBorder="1" applyAlignment="1" applyProtection="1">
      <alignment/>
      <protection/>
    </xf>
    <xf numFmtId="0" fontId="39" fillId="0" borderId="0" xfId="0" applyFont="1" applyAlignment="1">
      <alignment horizontal="justify" vertical="top" wrapText="1"/>
    </xf>
    <xf numFmtId="0" fontId="0" fillId="0" borderId="0" xfId="0" applyAlignment="1">
      <alignment shrinkToFit="1"/>
    </xf>
    <xf numFmtId="0" fontId="0" fillId="0" borderId="47" xfId="0" applyBorder="1" applyAlignment="1" applyProtection="1">
      <alignment horizontal="center"/>
      <protection/>
    </xf>
    <xf numFmtId="0" fontId="0" fillId="0" borderId="19" xfId="0" applyFont="1" applyBorder="1" applyAlignment="1" applyProtection="1">
      <alignment/>
      <protection/>
    </xf>
    <xf numFmtId="166" fontId="39" fillId="33" borderId="19" xfId="0" applyNumberFormat="1" applyFont="1" applyFill="1" applyBorder="1" applyAlignment="1">
      <alignment horizontal="center" vertical="center"/>
    </xf>
    <xf numFmtId="0" fontId="39" fillId="0" borderId="19" xfId="0" applyFont="1" applyBorder="1" applyAlignment="1">
      <alignment horizontal="center" vertical="center" wrapText="1"/>
    </xf>
    <xf numFmtId="164" fontId="39" fillId="0" borderId="48" xfId="0" applyNumberFormat="1" applyFont="1" applyBorder="1" applyAlignment="1">
      <alignment horizontal="center" vertical="center"/>
    </xf>
    <xf numFmtId="164" fontId="39" fillId="0" borderId="49" xfId="0" applyNumberFormat="1" applyFont="1" applyBorder="1" applyAlignment="1">
      <alignment horizontal="center" vertical="center"/>
    </xf>
    <xf numFmtId="166" fontId="39" fillId="33" borderId="50" xfId="0" applyNumberFormat="1" applyFont="1" applyFill="1" applyBorder="1" applyAlignment="1">
      <alignment horizontal="center" vertical="center"/>
    </xf>
    <xf numFmtId="0" fontId="39" fillId="0" borderId="50" xfId="0" applyFont="1" applyBorder="1" applyAlignment="1">
      <alignment horizontal="center" vertical="center" wrapText="1"/>
    </xf>
    <xf numFmtId="0" fontId="15" fillId="0" borderId="51" xfId="0" applyFont="1" applyBorder="1" applyAlignment="1">
      <alignment horizontal="center"/>
    </xf>
    <xf numFmtId="0" fontId="15" fillId="33" borderId="52" xfId="0" applyFont="1" applyFill="1" applyBorder="1" applyAlignment="1">
      <alignment horizontal="center"/>
    </xf>
    <xf numFmtId="0" fontId="15" fillId="0" borderId="52" xfId="0" applyFont="1" applyBorder="1" applyAlignment="1">
      <alignment horizontal="center"/>
    </xf>
    <xf numFmtId="0" fontId="0" fillId="0" borderId="0" xfId="0" applyFill="1" applyAlignment="1" applyProtection="1">
      <alignment/>
      <protection/>
    </xf>
    <xf numFmtId="0" fontId="74" fillId="0" borderId="0" xfId="0" applyFont="1" applyFill="1" applyAlignment="1" applyProtection="1">
      <alignment/>
      <protection/>
    </xf>
    <xf numFmtId="0" fontId="77" fillId="36" borderId="0" xfId="0" applyFont="1" applyFill="1" applyAlignment="1" applyProtection="1">
      <alignment horizontal="left"/>
      <protection/>
    </xf>
    <xf numFmtId="0" fontId="27" fillId="36" borderId="0" xfId="0" applyFont="1" applyFill="1" applyAlignment="1" applyProtection="1">
      <alignment horizontal="left"/>
      <protection/>
    </xf>
    <xf numFmtId="0" fontId="78" fillId="36" borderId="0" xfId="0" applyFont="1" applyFill="1" applyAlignment="1" applyProtection="1">
      <alignment horizontal="left"/>
      <protection/>
    </xf>
    <xf numFmtId="0" fontId="13" fillId="36" borderId="0" xfId="0" applyFont="1" applyFill="1" applyAlignment="1" applyProtection="1">
      <alignment/>
      <protection/>
    </xf>
    <xf numFmtId="0" fontId="76" fillId="36" borderId="0" xfId="0" applyFont="1" applyFill="1" applyAlignment="1" applyProtection="1">
      <alignment horizontal="left"/>
      <protection/>
    </xf>
    <xf numFmtId="0" fontId="80" fillId="36" borderId="0" xfId="0" applyFont="1" applyFill="1" applyAlignment="1" applyProtection="1">
      <alignment horizontal="left"/>
      <protection/>
    </xf>
    <xf numFmtId="0" fontId="0" fillId="36" borderId="0" xfId="0" applyFill="1" applyAlignment="1" applyProtection="1">
      <alignment/>
      <protection/>
    </xf>
    <xf numFmtId="0" fontId="128" fillId="36" borderId="0" xfId="0" applyFont="1" applyFill="1" applyAlignment="1" applyProtection="1">
      <alignment horizontal="left"/>
      <protection/>
    </xf>
    <xf numFmtId="0" fontId="74" fillId="36" borderId="0" xfId="0" applyFont="1" applyFill="1" applyAlignment="1" applyProtection="1">
      <alignment/>
      <protection/>
    </xf>
    <xf numFmtId="0" fontId="75" fillId="36" borderId="0" xfId="0" applyFont="1" applyFill="1" applyAlignment="1" applyProtection="1">
      <alignment/>
      <protection/>
    </xf>
    <xf numFmtId="0" fontId="33" fillId="36" borderId="0" xfId="0" applyFont="1" applyFill="1" applyAlignment="1" applyProtection="1">
      <alignment horizontal="left"/>
      <protection/>
    </xf>
    <xf numFmtId="0" fontId="129" fillId="6" borderId="0" xfId="0" applyFont="1" applyFill="1" applyAlignment="1" applyProtection="1">
      <alignment horizontal="left"/>
      <protection/>
    </xf>
    <xf numFmtId="0" fontId="48" fillId="0" borderId="0" xfId="0" applyFont="1" applyFill="1" applyBorder="1" applyAlignment="1" applyProtection="1">
      <alignment horizontal="center"/>
      <protection/>
    </xf>
    <xf numFmtId="0" fontId="3" fillId="0" borderId="0" xfId="0" applyFont="1" applyFill="1" applyBorder="1" applyAlignment="1">
      <alignment horizontal="center"/>
    </xf>
    <xf numFmtId="0" fontId="50" fillId="33" borderId="53" xfId="0" applyFont="1" applyFill="1" applyBorder="1" applyAlignment="1">
      <alignment horizontal="center"/>
    </xf>
    <xf numFmtId="0" fontId="50" fillId="33" borderId="32" xfId="0" applyFont="1" applyFill="1" applyBorder="1" applyAlignment="1">
      <alignment horizontal="center"/>
    </xf>
    <xf numFmtId="0" fontId="115" fillId="0" borderId="37" xfId="44" applyBorder="1" applyAlignment="1">
      <alignment horizontal="left" vertical="center" shrinkToFit="1"/>
    </xf>
    <xf numFmtId="0" fontId="0" fillId="0" borderId="37" xfId="0" applyBorder="1" applyAlignment="1">
      <alignment horizontal="left" vertical="center" shrinkToFit="1"/>
    </xf>
    <xf numFmtId="0" fontId="66" fillId="33" borderId="0" xfId="0" applyFont="1" applyFill="1" applyBorder="1" applyAlignment="1">
      <alignment horizontal="left" vertical="center"/>
    </xf>
    <xf numFmtId="0" fontId="0" fillId="0" borderId="0" xfId="0" applyBorder="1" applyAlignment="1">
      <alignment horizontal="left"/>
    </xf>
    <xf numFmtId="0" fontId="0" fillId="0" borderId="0" xfId="0" applyFont="1" applyAlignment="1">
      <alignment horizontal="center" shrinkToFit="1"/>
    </xf>
    <xf numFmtId="0" fontId="28" fillId="0" borderId="20" xfId="0" applyFont="1" applyBorder="1" applyAlignment="1">
      <alignment horizontal="left" shrinkToFit="1"/>
    </xf>
    <xf numFmtId="0" fontId="0" fillId="0" borderId="20" xfId="0" applyBorder="1" applyAlignment="1">
      <alignment horizontal="left" shrinkToFit="1"/>
    </xf>
    <xf numFmtId="0" fontId="50" fillId="33" borderId="54" xfId="0" applyFont="1" applyFill="1" applyBorder="1" applyAlignment="1">
      <alignment horizontal="center"/>
    </xf>
    <xf numFmtId="0" fontId="50" fillId="33" borderId="31" xfId="0" applyFont="1" applyFill="1" applyBorder="1" applyAlignment="1">
      <alignment horizontal="center"/>
    </xf>
    <xf numFmtId="0" fontId="3" fillId="0" borderId="0" xfId="0" applyFont="1" applyBorder="1" applyAlignment="1" quotePrefix="1">
      <alignment shrinkToFit="1"/>
    </xf>
    <xf numFmtId="0" fontId="0" fillId="0" borderId="0" xfId="0" applyFont="1" applyBorder="1" applyAlignment="1">
      <alignment shrinkToFit="1"/>
    </xf>
    <xf numFmtId="0" fontId="0" fillId="0" borderId="0" xfId="0" applyFont="1" applyAlignment="1">
      <alignment shrinkToFit="1"/>
    </xf>
    <xf numFmtId="0" fontId="0" fillId="0" borderId="0" xfId="0" applyAlignment="1">
      <alignment/>
    </xf>
    <xf numFmtId="0" fontId="0" fillId="0" borderId="0" xfId="0" applyFont="1" applyAlignment="1">
      <alignment horizontal="left" shrinkToFit="1"/>
    </xf>
    <xf numFmtId="0" fontId="39" fillId="0" borderId="0" xfId="0" applyFont="1" applyAlignment="1">
      <alignment horizontal="justify" vertical="top"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dxfs count="13">
    <dxf>
      <font>
        <color indexed="9"/>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lineMarker"/>
        <c:varyColors val="0"/>
        <c:ser>
          <c:idx val="0"/>
          <c:order val="0"/>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Robol!$B$10:$F$10</c:f>
              <c:numCache>
                <c:ptCount val="5"/>
                <c:pt idx="0">
                  <c:v>30</c:v>
                </c:pt>
                <c:pt idx="1">
                  <c:v>30</c:v>
                </c:pt>
                <c:pt idx="2">
                  <c:v>470</c:v>
                </c:pt>
                <c:pt idx="3">
                  <c:v>470</c:v>
                </c:pt>
                <c:pt idx="4">
                  <c:v>30</c:v>
                </c:pt>
              </c:numCache>
            </c:numRef>
          </c:xVal>
          <c:yVal>
            <c:numRef>
              <c:f>Robol!$B$11:$F$11</c:f>
              <c:numCache>
                <c:ptCount val="5"/>
                <c:pt idx="0">
                  <c:v>30</c:v>
                </c:pt>
                <c:pt idx="1">
                  <c:v>420</c:v>
                </c:pt>
                <c:pt idx="2">
                  <c:v>420</c:v>
                </c:pt>
                <c:pt idx="3">
                  <c:v>30</c:v>
                </c:pt>
                <c:pt idx="4">
                  <c:v>30</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3300"/>
              </a:solidFill>
              <a:ln>
                <a:noFill/>
              </a:ln>
            </c:spPr>
          </c:marker>
          <c:xVal>
            <c:numRef>
              <c:f>Robol!$B$7:$V$7</c:f>
              <c:numCache>
                <c:ptCount val="21"/>
                <c:pt idx="0">
                  <c:v>45</c:v>
                </c:pt>
                <c:pt idx="1">
                  <c:v>45</c:v>
                </c:pt>
                <c:pt idx="2">
                  <c:v>181.66666666666666</c:v>
                </c:pt>
                <c:pt idx="3">
                  <c:v>318.3333333333333</c:v>
                </c:pt>
                <c:pt idx="4">
                  <c:v>455</c:v>
                </c:pt>
                <c:pt idx="5">
                  <c:v>455</c:v>
                </c:pt>
                <c:pt idx="6">
                  <c:v>455</c:v>
                </c:pt>
                <c:pt idx="7">
                  <c:v>455</c:v>
                </c:pt>
                <c:pt idx="8">
                  <c:v>455</c:v>
                </c:pt>
                <c:pt idx="9">
                  <c:v>455</c:v>
                </c:pt>
                <c:pt idx="10">
                  <c:v>455</c:v>
                </c:pt>
                <c:pt idx="11">
                  <c:v>455</c:v>
                </c:pt>
                <c:pt idx="12">
                  <c:v>318.33333333333337</c:v>
                </c:pt>
                <c:pt idx="13">
                  <c:v>181.6666666666667</c:v>
                </c:pt>
                <c:pt idx="14">
                  <c:v>45.00000000000006</c:v>
                </c:pt>
                <c:pt idx="15">
                  <c:v>45</c:v>
                </c:pt>
                <c:pt idx="16">
                  <c:v>45</c:v>
                </c:pt>
                <c:pt idx="17">
                  <c:v>45</c:v>
                </c:pt>
                <c:pt idx="18">
                  <c:v>45</c:v>
                </c:pt>
                <c:pt idx="19">
                  <c:v>45</c:v>
                </c:pt>
                <c:pt idx="20">
                  <c:v>45</c:v>
                </c:pt>
              </c:numCache>
            </c:numRef>
          </c:xVal>
          <c:yVal>
            <c:numRef>
              <c:f>Robol!$B$8:$V$8</c:f>
              <c:numCache>
                <c:ptCount val="21"/>
                <c:pt idx="0">
                  <c:v>45</c:v>
                </c:pt>
                <c:pt idx="1">
                  <c:v>405</c:v>
                </c:pt>
                <c:pt idx="2">
                  <c:v>405</c:v>
                </c:pt>
                <c:pt idx="3">
                  <c:v>405</c:v>
                </c:pt>
                <c:pt idx="4">
                  <c:v>405</c:v>
                </c:pt>
                <c:pt idx="5">
                  <c:v>405</c:v>
                </c:pt>
                <c:pt idx="6">
                  <c:v>405</c:v>
                </c:pt>
                <c:pt idx="7">
                  <c:v>405</c:v>
                </c:pt>
                <c:pt idx="8">
                  <c:v>405</c:v>
                </c:pt>
                <c:pt idx="9">
                  <c:v>405</c:v>
                </c:pt>
                <c:pt idx="10">
                  <c:v>405</c:v>
                </c:pt>
                <c:pt idx="11">
                  <c:v>45</c:v>
                </c:pt>
                <c:pt idx="12">
                  <c:v>45</c:v>
                </c:pt>
                <c:pt idx="13">
                  <c:v>45</c:v>
                </c:pt>
                <c:pt idx="14">
                  <c:v>45</c:v>
                </c:pt>
                <c:pt idx="15">
                  <c:v>45</c:v>
                </c:pt>
                <c:pt idx="16">
                  <c:v>45</c:v>
                </c:pt>
                <c:pt idx="17">
                  <c:v>45</c:v>
                </c:pt>
                <c:pt idx="18">
                  <c:v>45</c:v>
                </c:pt>
                <c:pt idx="19">
                  <c:v>45</c:v>
                </c:pt>
                <c:pt idx="20">
                  <c:v>45</c:v>
                </c:pt>
              </c:numCache>
            </c:numRef>
          </c:yVal>
          <c:smooth val="0"/>
        </c:ser>
        <c:ser>
          <c:idx val="2"/>
          <c:order val="2"/>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Robol!$B$12:$F$12</c:f>
              <c:numCache>
                <c:ptCount val="5"/>
                <c:pt idx="0">
                  <c:v>0</c:v>
                </c:pt>
                <c:pt idx="1">
                  <c:v>0</c:v>
                </c:pt>
                <c:pt idx="2">
                  <c:v>500</c:v>
                </c:pt>
                <c:pt idx="3">
                  <c:v>500</c:v>
                </c:pt>
                <c:pt idx="4">
                  <c:v>0</c:v>
                </c:pt>
              </c:numCache>
            </c:numRef>
          </c:xVal>
          <c:yVal>
            <c:numRef>
              <c:f>Robol!$B$13:$F$13</c:f>
              <c:numCache>
                <c:ptCount val="5"/>
                <c:pt idx="0">
                  <c:v>0</c:v>
                </c:pt>
                <c:pt idx="1">
                  <c:v>450</c:v>
                </c:pt>
                <c:pt idx="2">
                  <c:v>450</c:v>
                </c:pt>
                <c:pt idx="3">
                  <c:v>0</c:v>
                </c:pt>
                <c:pt idx="4">
                  <c:v>0</c:v>
                </c:pt>
              </c:numCache>
            </c:numRef>
          </c:y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Robol!$C$13</c:f>
              <c:numCache>
                <c:ptCount val="1"/>
                <c:pt idx="0">
                  <c:v>450</c:v>
                </c:pt>
              </c:numCache>
            </c:numRef>
          </c:xVal>
          <c:yVal>
            <c:numRef>
              <c:f>Robol!$D$12</c:f>
              <c:numCache>
                <c:ptCount val="1"/>
                <c:pt idx="0">
                  <c:v>500</c:v>
                </c:pt>
              </c:numCache>
            </c:numRef>
          </c:yVal>
          <c:smooth val="0"/>
        </c:ser>
        <c:axId val="46044994"/>
        <c:axId val="11751763"/>
      </c:scatterChart>
      <c:valAx>
        <c:axId val="46044994"/>
        <c:scaling>
          <c:orientation val="minMax"/>
          <c:min val="-40"/>
        </c:scaling>
        <c:axPos val="b"/>
        <c:delete val="1"/>
        <c:majorTickMark val="out"/>
        <c:minorTickMark val="none"/>
        <c:tickLblPos val="nextTo"/>
        <c:crossAx val="11751763"/>
        <c:crosses val="autoZero"/>
        <c:crossBetween val="midCat"/>
        <c:dispUnits/>
      </c:valAx>
      <c:valAx>
        <c:axId val="11751763"/>
        <c:scaling>
          <c:orientation val="minMax"/>
          <c:min val="-40"/>
        </c:scaling>
        <c:axPos val="l"/>
        <c:delete val="1"/>
        <c:majorTickMark val="out"/>
        <c:minorTickMark val="none"/>
        <c:tickLblPos val="nextTo"/>
        <c:crossAx val="46044994"/>
        <c:crosses val="autoZero"/>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16"/>
          <c:w val="0.932"/>
          <c:h val="0.93375"/>
        </c:manualLayout>
      </c:layout>
      <c:scatterChart>
        <c:scatterStyle val="smoothMarker"/>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Oblicz!$G$36:$BH$36</c:f>
              <c:numCache>
                <c:ptCount val="54"/>
                <c:pt idx="0">
                  <c:v>0</c:v>
                </c:pt>
                <c:pt idx="1">
                  <c:v>-105.77289638203564</c:v>
                </c:pt>
                <c:pt idx="2">
                  <c:v>2.276785708963871E-06</c:v>
                </c:pt>
                <c:pt idx="3">
                  <c:v>118.10360546663725</c:v>
                </c:pt>
                <c:pt idx="4">
                  <c:v>127.50912599281034</c:v>
                </c:pt>
                <c:pt idx="5">
                  <c:v>138.66452427411573</c:v>
                </c:pt>
                <c:pt idx="6">
                  <c:v>131.89780151644976</c:v>
                </c:pt>
                <c:pt idx="7">
                  <c:v>139.4649140803471</c:v>
                </c:pt>
                <c:pt idx="8">
                  <c:v>162.61668405138448</c:v>
                </c:pt>
                <c:pt idx="9">
                  <c:v>182.04229281498218</c:v>
                </c:pt>
                <c:pt idx="10">
                  <c:v>197.59139330900373</c:v>
                </c:pt>
                <c:pt idx="11">
                  <c:v>212.28944194760464</c:v>
                </c:pt>
                <c:pt idx="12">
                  <c:v>226.1934573341119</c:v>
                </c:pt>
                <c:pt idx="13">
                  <c:v>239.25385630688368</c:v>
                </c:pt>
                <c:pt idx="14">
                  <c:v>251.3425367616807</c:v>
                </c:pt>
                <c:pt idx="15">
                  <c:v>262.45841112687185</c:v>
                </c:pt>
                <c:pt idx="16">
                  <c:v>272.79136719184504</c:v>
                </c:pt>
                <c:pt idx="17">
                  <c:v>282.52755263572305</c:v>
                </c:pt>
                <c:pt idx="18">
                  <c:v>291.7662140213462</c:v>
                </c:pt>
                <c:pt idx="19">
                  <c:v>300.54696021172185</c:v>
                </c:pt>
                <c:pt idx="20">
                  <c:v>308.88227349786007</c:v>
                </c:pt>
                <c:pt idx="21">
                  <c:v>316.7738941621475</c:v>
                </c:pt>
                <c:pt idx="22">
                  <c:v>324.2196384141632</c:v>
                </c:pt>
                <c:pt idx="23">
                  <c:v>331.216102839783</c:v>
                </c:pt>
                <c:pt idx="24">
                  <c:v>337.7597171311991</c:v>
                </c:pt>
                <c:pt idx="25">
                  <c:v>343.84713504278494</c:v>
                </c:pt>
                <c:pt idx="26">
                  <c:v>349.4753576269456</c:v>
                </c:pt>
                <c:pt idx="27">
                  <c:v>354.6417481213018</c:v>
                </c:pt>
                <c:pt idx="28">
                  <c:v>359.3440020149555</c:v>
                </c:pt>
                <c:pt idx="29">
                  <c:v>363.58008768052537</c:v>
                </c:pt>
                <c:pt idx="30">
                  <c:v>367.34811488071153</c:v>
                </c:pt>
                <c:pt idx="31">
                  <c:v>370.64589785639333</c:v>
                </c:pt>
                <c:pt idx="32">
                  <c:v>373.469161802951</c:v>
                </c:pt>
                <c:pt idx="33">
                  <c:v>375.80374271682916</c:v>
                </c:pt>
                <c:pt idx="34">
                  <c:v>377.5926064226973</c:v>
                </c:pt>
                <c:pt idx="35">
                  <c:v>378.6259193550809</c:v>
                </c:pt>
                <c:pt idx="36">
                  <c:v>378.4520058399147</c:v>
                </c:pt>
                <c:pt idx="37">
                  <c:v>376.95235007629003</c:v>
                </c:pt>
                <c:pt idx="38">
                  <c:v>374.63169617458345</c:v>
                </c:pt>
                <c:pt idx="39">
                  <c:v>371.8380834343322</c:v>
                </c:pt>
                <c:pt idx="40">
                  <c:v>368.6639448815096</c:v>
                </c:pt>
                <c:pt idx="41">
                  <c:v>365.120936650405</c:v>
                </c:pt>
                <c:pt idx="42">
                  <c:v>361.2041643579616</c:v>
                </c:pt>
                <c:pt idx="43">
                  <c:v>356.9062898395157</c:v>
                </c:pt>
                <c:pt idx="44">
                  <c:v>288.7973854488938</c:v>
                </c:pt>
                <c:pt idx="45">
                  <c:v>177.574089933013</c:v>
                </c:pt>
                <c:pt idx="46">
                  <c:v>95.89741780926616</c:v>
                </c:pt>
                <c:pt idx="47">
                  <c:v>51.88089032614973</c:v>
                </c:pt>
                <c:pt idx="48">
                  <c:v>27.6796350240336</c:v>
                </c:pt>
                <c:pt idx="49">
                  <c:v>14.34817340010111</c:v>
                </c:pt>
                <c:pt idx="50">
                  <c:v>7.08293019588441</c:v>
                </c:pt>
                <c:pt idx="51">
                  <c:v>3.2031060871641897</c:v>
                </c:pt>
                <c:pt idx="52">
                  <c:v>1.1874476280391961</c:v>
                </c:pt>
                <c:pt idx="53">
                  <c:v>0.08540408460985124</c:v>
                </c:pt>
              </c:numCache>
            </c:numRef>
          </c:xVal>
          <c:yVal>
            <c:numRef>
              <c:f>Oblicz!$G$35:$BH$35</c:f>
              <c:numCache>
                <c:ptCount val="54"/>
                <c:pt idx="0">
                  <c:v>0</c:v>
                </c:pt>
                <c:pt idx="1">
                  <c:v>40.262651448406835</c:v>
                </c:pt>
                <c:pt idx="2">
                  <c:v>-599.9075957316642</c:v>
                </c:pt>
                <c:pt idx="3">
                  <c:v>11.659675721688021</c:v>
                </c:pt>
                <c:pt idx="4">
                  <c:v>50.65940875982045</c:v>
                </c:pt>
                <c:pt idx="5">
                  <c:v>101.47234633940388</c:v>
                </c:pt>
                <c:pt idx="6">
                  <c:v>60.013838756185606</c:v>
                </c:pt>
                <c:pt idx="7">
                  <c:v>96.95032178019092</c:v>
                </c:pt>
                <c:pt idx="8">
                  <c:v>218.89990168431208</c:v>
                </c:pt>
                <c:pt idx="9">
                  <c:v>334.2446901898299</c:v>
                </c:pt>
                <c:pt idx="10">
                  <c:v>451.99096054366794</c:v>
                </c:pt>
                <c:pt idx="11">
                  <c:v>560.9192874937761</c:v>
                </c:pt>
                <c:pt idx="12">
                  <c:v>663.3922414290945</c:v>
                </c:pt>
                <c:pt idx="13">
                  <c:v>760.458949642514</c:v>
                </c:pt>
                <c:pt idx="14">
                  <c:v>852.3159379365151</c:v>
                </c:pt>
                <c:pt idx="15">
                  <c:v>939.562746768436</c:v>
                </c:pt>
                <c:pt idx="16">
                  <c:v>1023.6364268701103</c:v>
                </c:pt>
                <c:pt idx="17">
                  <c:v>1105.8389457822568</c:v>
                </c:pt>
                <c:pt idx="18">
                  <c:v>1186.9332119838252</c:v>
                </c:pt>
                <c:pt idx="19">
                  <c:v>1267.310638947782</c:v>
                </c:pt>
                <c:pt idx="20">
                  <c:v>1347.1787038075615</c:v>
                </c:pt>
                <c:pt idx="21">
                  <c:v>1426.6582722500034</c:v>
                </c:pt>
                <c:pt idx="22">
                  <c:v>1505.827116112933</c:v>
                </c:pt>
                <c:pt idx="23">
                  <c:v>1584.7395397123144</c:v>
                </c:pt>
                <c:pt idx="24">
                  <c:v>1663.4358169266654</c:v>
                </c:pt>
                <c:pt idx="25">
                  <c:v>1741.947118561682</c:v>
                </c:pt>
                <c:pt idx="26">
                  <c:v>1820.2983108201738</c:v>
                </c:pt>
                <c:pt idx="27">
                  <c:v>1898.5096753211617</c:v>
                </c:pt>
                <c:pt idx="28">
                  <c:v>1976.598055985136</c:v>
                </c:pt>
                <c:pt idx="29">
                  <c:v>2054.577743951523</c:v>
                </c:pt>
                <c:pt idx="30">
                  <c:v>2132.4615184694253</c:v>
                </c:pt>
                <c:pt idx="31">
                  <c:v>2210.2631764031225</c:v>
                </c:pt>
                <c:pt idx="32">
                  <c:v>2288.0071646892234</c:v>
                </c:pt>
                <c:pt idx="33">
                  <c:v>2365.7699481522754</c:v>
                </c:pt>
                <c:pt idx="34">
                  <c:v>2443.854580207798</c:v>
                </c:pt>
                <c:pt idx="35">
                  <c:v>2523.3723881940405</c:v>
                </c:pt>
                <c:pt idx="36">
                  <c:v>2606.714135347843</c:v>
                </c:pt>
                <c:pt idx="37">
                  <c:v>2694.5077099031796</c:v>
                </c:pt>
                <c:pt idx="38">
                  <c:v>2784.083225585858</c:v>
                </c:pt>
                <c:pt idx="39">
                  <c:v>2873.5998358383554</c:v>
                </c:pt>
                <c:pt idx="40">
                  <c:v>2962.569035337209</c:v>
                </c:pt>
                <c:pt idx="41">
                  <c:v>3050.929647593757</c:v>
                </c:pt>
                <c:pt idx="42">
                  <c:v>3138.7080116779343</c:v>
                </c:pt>
                <c:pt idx="43">
                  <c:v>3225.9433506746027</c:v>
                </c:pt>
                <c:pt idx="44">
                  <c:v>4102.778328367467</c:v>
                </c:pt>
                <c:pt idx="45">
                  <c:v>4939.756241795482</c:v>
                </c:pt>
                <c:pt idx="46">
                  <c:v>5500.383401414757</c:v>
                </c:pt>
                <c:pt idx="47">
                  <c:v>5832.157397813336</c:v>
                </c:pt>
                <c:pt idx="48">
                  <c:v>6043.678291426262</c:v>
                </c:pt>
                <c:pt idx="49">
                  <c:v>6188.381025279213</c:v>
                </c:pt>
                <c:pt idx="50">
                  <c:v>6294.378726807568</c:v>
                </c:pt>
                <c:pt idx="51">
                  <c:v>6377.021243266827</c:v>
                </c:pt>
                <c:pt idx="52">
                  <c:v>6444.806315794909</c:v>
                </c:pt>
                <c:pt idx="53">
                  <c:v>6502.870529067154</c:v>
                </c:pt>
              </c:numCache>
            </c:numRef>
          </c:yVal>
          <c:smooth val="1"/>
        </c:ser>
        <c:ser>
          <c:idx val="1"/>
          <c:order val="1"/>
          <c:tx>
            <c:v>Markers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FF"/>
              </a:solidFill>
              <a:ln>
                <a:solidFill>
                  <a:srgbClr val="000000"/>
                </a:solidFill>
              </a:ln>
            </c:spPr>
          </c:marker>
          <c:dLbls>
            <c:numFmt formatCode="0" sourceLinked="0"/>
            <c:txPr>
              <a:bodyPr vert="horz" rot="0" anchor="ctr"/>
              <a:lstStyle/>
              <a:p>
                <a:pPr algn="r">
                  <a:defRPr lang="en-US" cap="none" sz="1475" b="0" i="0" u="none" baseline="0">
                    <a:solidFill>
                      <a:srgbClr val="FF00FF"/>
                    </a:solidFill>
                  </a:defRPr>
                </a:pPr>
              </a:p>
            </c:txPr>
            <c:dLblPos val="l"/>
            <c:showLegendKey val="0"/>
            <c:showVal val="1"/>
            <c:showBubbleSize val="0"/>
            <c:showCatName val="0"/>
            <c:showSerName val="0"/>
            <c:showPercent val="0"/>
          </c:dLbls>
          <c:xVal>
            <c:numRef>
              <c:f>Oblicz!$I$39:$J$39</c:f>
              <c:numCache>
                <c:ptCount val="2"/>
                <c:pt idx="0">
                  <c:v>320</c:v>
                </c:pt>
                <c:pt idx="1">
                  <c:v>50</c:v>
                </c:pt>
              </c:numCache>
            </c:numRef>
          </c:xVal>
          <c:yVal>
            <c:numRef>
              <c:f>Oblicz!$I$38:$J$38</c:f>
              <c:numCache>
                <c:ptCount val="2"/>
                <c:pt idx="0">
                  <c:v>1500</c:v>
                </c:pt>
                <c:pt idx="1">
                  <c:v>-500</c:v>
                </c:pt>
              </c:numCache>
            </c:numRef>
          </c:yVal>
          <c:smooth val="1"/>
        </c:ser>
        <c:ser>
          <c:idx val="2"/>
          <c:order val="2"/>
          <c:tx>
            <c:v>Closer</c:v>
          </c:tx>
          <c:spPr>
            <a:ln w="127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Oblicz!$L$39:$M$39</c:f>
              <c:numCache>
                <c:ptCount val="2"/>
                <c:pt idx="0">
                  <c:v>0</c:v>
                </c:pt>
                <c:pt idx="1">
                  <c:v>0.08540408460985124</c:v>
                </c:pt>
              </c:numCache>
            </c:numRef>
          </c:xVal>
          <c:yVal>
            <c:numRef>
              <c:f>Oblicz!$L$38:$M$38</c:f>
              <c:numCache>
                <c:ptCount val="2"/>
                <c:pt idx="0">
                  <c:v>0</c:v>
                </c:pt>
                <c:pt idx="1">
                  <c:v>6502.870529067154</c:v>
                </c:pt>
              </c:numCache>
            </c:numRef>
          </c:yVal>
          <c:smooth val="1"/>
        </c:ser>
        <c:ser>
          <c:idx val="3"/>
          <c:order val="3"/>
          <c:tx>
            <c:v>10%*Ac fcu</c:v>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
              <c:layout>
                <c:manualLayout>
                  <c:x val="0"/>
                  <c:y val="0"/>
                </c:manualLayout>
              </c:layout>
              <c:tx>
                <c:rich>
                  <a:bodyPr vert="horz" rot="0" anchor="ctr"/>
                  <a:lstStyle/>
                  <a:p>
                    <a:pPr algn="ctr">
                      <a:defRPr/>
                    </a:pPr>
                    <a:r>
                      <a:rPr lang="en-US" cap="none" sz="900" b="0" i="0" u="none" baseline="0">
                        <a:solidFill>
                          <a:srgbClr val="993300"/>
                        </a:solidFill>
                      </a:rPr>
                      <a:t>10%F</a:t>
                    </a:r>
                    <a:r>
                      <a:rPr lang="en-US" cap="none" sz="900" b="0" i="0" u="none" baseline="-25000">
                        <a:solidFill>
                          <a:srgbClr val="993300"/>
                        </a:solidFill>
                      </a:rPr>
                      <a:t>cA</a:t>
                    </a:r>
                  </a:p>
                </c:rich>
              </c:tx>
              <c:numFmt formatCode="General" sourceLinked="1"/>
              <c:spPr>
                <a:solidFill>
                  <a:srgbClr val="FFFFFF"/>
                </a:solidFill>
                <a:ln w="3175">
                  <a:solidFill>
                    <a:srgbClr val="008000"/>
                  </a:solid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xVal>
            <c:numRef>
              <c:f>Oblicz!$O$38:$Q$38</c:f>
              <c:numCache>
                <c:ptCount val="3"/>
                <c:pt idx="0">
                  <c:v>0.08540408460985124</c:v>
                </c:pt>
                <c:pt idx="1">
                  <c:v>189.3556617198454</c:v>
                </c:pt>
                <c:pt idx="2">
                  <c:v>378.6259193550809</c:v>
                </c:pt>
              </c:numCache>
            </c:numRef>
          </c:xVal>
          <c:yVal>
            <c:numRef>
              <c:f>Oblicz!$O$39:$Q$39</c:f>
              <c:numCache>
                <c:ptCount val="3"/>
                <c:pt idx="0">
                  <c:v>562.5</c:v>
                </c:pt>
                <c:pt idx="1">
                  <c:v>562.5</c:v>
                </c:pt>
                <c:pt idx="2">
                  <c:v>562.5</c:v>
                </c:pt>
              </c:numCache>
            </c:numRef>
          </c:yVal>
          <c:smooth val="1"/>
        </c:ser>
        <c:ser>
          <c:idx val="4"/>
          <c:order val="4"/>
          <c:tx>
            <c:v>Min M</c:v>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
              <c:tx>
                <c:rich>
                  <a:bodyPr vert="horz" rot="0" anchor="ctr"/>
                  <a:lstStyle/>
                  <a:p>
                    <a:pPr algn="ctr">
                      <a:defRPr/>
                    </a:pPr>
                    <a:r>
                      <a:rPr lang="en-US" cap="none" sz="900" b="0" i="0" u="none" baseline="0">
                        <a:solidFill>
                          <a:srgbClr val="993300"/>
                        </a:solidFill>
                        <a:latin typeface="Arial"/>
                        <a:ea typeface="Arial"/>
                        <a:cs typeface="Arial"/>
                      </a:rPr>
                      <a:t>M min</a:t>
                    </a:r>
                  </a:p>
                </c:rich>
              </c:tx>
              <c:numFmt formatCode="General" sourceLinked="1"/>
              <c:spPr>
                <a:solidFill>
                  <a:srgbClr val="FFFFFF"/>
                </a:solidFill>
                <a:ln w="3175">
                  <a:solidFill>
                    <a:srgbClr val="008000"/>
                  </a:solidFill>
                </a:ln>
              </c:spPr>
              <c:dLblPos val="ct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xVal>
            <c:numRef>
              <c:f>Oblicz!$S$38:$U$38</c:f>
              <c:numCache>
                <c:ptCount val="3"/>
                <c:pt idx="0">
                  <c:v>0</c:v>
                </c:pt>
                <c:pt idx="1">
                  <c:v>65.02870529067154</c:v>
                </c:pt>
                <c:pt idx="2">
                  <c:v>130.05741058134308</c:v>
                </c:pt>
              </c:numCache>
            </c:numRef>
          </c:xVal>
          <c:yVal>
            <c:numRef>
              <c:f>Oblicz!$S$39:$U$39</c:f>
              <c:numCache>
                <c:ptCount val="3"/>
                <c:pt idx="0">
                  <c:v>0</c:v>
                </c:pt>
                <c:pt idx="1">
                  <c:v>3251.435264533577</c:v>
                </c:pt>
                <c:pt idx="2">
                  <c:v>6502.870529067154</c:v>
                </c:pt>
              </c:numCache>
            </c:numRef>
          </c:yVal>
          <c:smooth val="1"/>
        </c:ser>
        <c:axId val="38657004"/>
        <c:axId val="12368717"/>
      </c:scatterChart>
      <c:valAx>
        <c:axId val="38657004"/>
        <c:scaling>
          <c:orientation val="minMax"/>
        </c:scaling>
        <c:axPos val="b"/>
        <c:title>
          <c:tx>
            <c:rich>
              <a:bodyPr vert="horz" rot="0" anchor="ctr"/>
              <a:lstStyle/>
              <a:p>
                <a:pPr algn="ctr">
                  <a:defRPr/>
                </a:pPr>
                <a:r>
                  <a:rPr lang="en-US" cap="none" sz="1200" b="0" i="0" u="none" baseline="0">
                    <a:solidFill>
                      <a:srgbClr val="000000"/>
                    </a:solidFill>
                  </a:rPr>
                  <a:t>Moment zginający M</a:t>
                </a:r>
                <a:r>
                  <a:rPr lang="en-US" cap="none" sz="1200" b="0" i="0" u="none" baseline="-25000">
                    <a:solidFill>
                      <a:srgbClr val="000000"/>
                    </a:solidFill>
                  </a:rPr>
                  <a:t>y</a:t>
                </a:r>
                <a:r>
                  <a:rPr lang="en-US" cap="none" sz="1200" b="0" i="0" u="none" baseline="0">
                    <a:solidFill>
                      <a:srgbClr val="000000"/>
                    </a:solidFill>
                  </a:rPr>
                  <a:t> [</a:t>
                </a:r>
                <a:r>
                  <a:rPr lang="en-US" cap="none" sz="1200" b="0" i="0" u="none" baseline="0">
                    <a:solidFill>
                      <a:srgbClr val="000000"/>
                    </a:solidFill>
                  </a:rPr>
                  <a:t>kNm]
</a:t>
                </a:r>
              </a:p>
            </c:rich>
          </c:tx>
          <c:layout>
            <c:manualLayout>
              <c:xMode val="factor"/>
              <c:yMode val="factor"/>
              <c:x val="-0.0005"/>
              <c:y val="0.011"/>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low"/>
        <c:spPr>
          <a:ln w="25400">
            <a:solidFill>
              <a:srgbClr val="000000"/>
            </a:solidFill>
          </a:ln>
        </c:spPr>
        <c:txPr>
          <a:bodyPr vert="horz" rot="0"/>
          <a:lstStyle/>
          <a:p>
            <a:pPr>
              <a:defRPr lang="en-US" cap="none" sz="1200" b="0" i="0" u="none" baseline="0">
                <a:solidFill>
                  <a:srgbClr val="008000"/>
                </a:solidFill>
              </a:defRPr>
            </a:pPr>
          </a:p>
        </c:txPr>
        <c:crossAx val="12368717"/>
        <c:crosses val="autoZero"/>
        <c:crossBetween val="midCat"/>
        <c:dispUnits/>
      </c:valAx>
      <c:valAx>
        <c:axId val="12368717"/>
        <c:scaling>
          <c:orientation val="minMax"/>
        </c:scaling>
        <c:axPos val="l"/>
        <c:title>
          <c:tx>
            <c:rich>
              <a:bodyPr vert="horz" rot="-5400000" anchor="ctr"/>
              <a:lstStyle/>
              <a:p>
                <a:pPr algn="ctr">
                  <a:defRPr/>
                </a:pPr>
                <a:r>
                  <a:rPr lang="en-US" cap="none" sz="1200" b="0" i="0" u="none" baseline="0">
                    <a:solidFill>
                      <a:srgbClr val="000000"/>
                    </a:solidFill>
                  </a:rPr>
                  <a:t>Siła osiowa ściskająca N</a:t>
                </a:r>
                <a:r>
                  <a:rPr lang="en-US" cap="none" sz="1200" b="0" i="0" u="none" baseline="0">
                    <a:solidFill>
                      <a:srgbClr val="000000"/>
                    </a:solidFill>
                  </a:rPr>
                  <a:t> [ kN]</a:t>
                </a:r>
              </a:p>
            </c:rich>
          </c:tx>
          <c:layout>
            <c:manualLayout>
              <c:xMode val="factor"/>
              <c:yMode val="factor"/>
              <c:x val="-0.01425"/>
              <c:y val="-0.00625"/>
            </c:manualLayout>
          </c:layout>
          <c:overlay val="0"/>
          <c:spPr>
            <a:solidFill>
              <a:srgbClr val="FFFFFF"/>
            </a:solidFill>
            <a:ln w="3175">
              <a:noFill/>
            </a:ln>
          </c:spPr>
        </c:title>
        <c:majorGridlines>
          <c:spPr>
            <a:ln w="3175">
              <a:solidFill>
                <a:srgbClr val="969696"/>
              </a:solidFill>
            </a:ln>
          </c:spPr>
        </c:majorGridlines>
        <c:delete val="0"/>
        <c:numFmt formatCode="0" sourceLinked="0"/>
        <c:majorTickMark val="out"/>
        <c:minorTickMark val="none"/>
        <c:tickLblPos val="low"/>
        <c:spPr>
          <a:ln w="25400">
            <a:solidFill>
              <a:srgbClr val="000000"/>
            </a:solidFill>
          </a:ln>
        </c:spPr>
        <c:txPr>
          <a:bodyPr vert="horz" rot="0"/>
          <a:lstStyle/>
          <a:p>
            <a:pPr>
              <a:defRPr lang="en-US" cap="none" sz="1200" b="0" i="0" u="none" baseline="0">
                <a:solidFill>
                  <a:srgbClr val="0000FF"/>
                </a:solidFill>
              </a:defRPr>
            </a:pPr>
          </a:p>
        </c:txPr>
        <c:crossAx val="38657004"/>
        <c:crosses val="autoZero"/>
        <c:crossBetween val="midCat"/>
        <c:dispUnits/>
      </c:valAx>
      <c:spPr>
        <a:solidFill>
          <a:srgbClr val="EAEAEA"/>
        </a:solidFill>
        <a:ln w="3175">
          <a:solidFill>
            <a:srgbClr val="993300"/>
          </a:solidFill>
        </a:ln>
      </c:spPr>
    </c:plotArea>
    <c:plotVisOnly val="1"/>
    <c:dispBlanksAs val="gap"/>
    <c:showDLblsOverMax val="0"/>
  </c:chart>
  <c:spPr>
    <a:solidFill>
      <a:srgbClr val="FFFFFF"/>
    </a:solidFill>
    <a:ln w="3175">
      <a:noFill/>
    </a:ln>
  </c:spPr>
  <c:txPr>
    <a:bodyPr vert="horz" rot="0"/>
    <a:lstStyle/>
    <a:p>
      <a:pPr>
        <a:defRPr lang="en-US" cap="none" sz="14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 Id="rId4"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8</xdr:row>
      <xdr:rowOff>171450</xdr:rowOff>
    </xdr:from>
    <xdr:to>
      <xdr:col>10</xdr:col>
      <xdr:colOff>361950</xdr:colOff>
      <xdr:row>15</xdr:row>
      <xdr:rowOff>209550</xdr:rowOff>
    </xdr:to>
    <xdr:graphicFrame>
      <xdr:nvGraphicFramePr>
        <xdr:cNvPr id="1" name="Wykres 4"/>
        <xdr:cNvGraphicFramePr/>
      </xdr:nvGraphicFramePr>
      <xdr:xfrm>
        <a:off x="5753100" y="2009775"/>
        <a:ext cx="1781175" cy="15240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22</xdr:row>
      <xdr:rowOff>180975</xdr:rowOff>
    </xdr:from>
    <xdr:to>
      <xdr:col>10</xdr:col>
      <xdr:colOff>514350</xdr:colOff>
      <xdr:row>50</xdr:row>
      <xdr:rowOff>47625</xdr:rowOff>
    </xdr:to>
    <xdr:graphicFrame>
      <xdr:nvGraphicFramePr>
        <xdr:cNvPr id="2" name="Wykres 5"/>
        <xdr:cNvGraphicFramePr/>
      </xdr:nvGraphicFramePr>
      <xdr:xfrm>
        <a:off x="552450" y="4914900"/>
        <a:ext cx="7134225" cy="5200650"/>
      </xdr:xfrm>
      <a:graphic>
        <a:graphicData uri="http://schemas.openxmlformats.org/drawingml/2006/chart">
          <c:chart xmlns:c="http://schemas.openxmlformats.org/drawingml/2006/chart" r:id="rId2"/>
        </a:graphicData>
      </a:graphic>
    </xdr:graphicFrame>
    <xdr:clientData/>
  </xdr:twoCellAnchor>
  <xdr:twoCellAnchor editAs="oneCell">
    <xdr:from>
      <xdr:col>7</xdr:col>
      <xdr:colOff>381000</xdr:colOff>
      <xdr:row>4</xdr:row>
      <xdr:rowOff>190500</xdr:rowOff>
    </xdr:from>
    <xdr:to>
      <xdr:col>7</xdr:col>
      <xdr:colOff>762000</xdr:colOff>
      <xdr:row>5</xdr:row>
      <xdr:rowOff>190500</xdr:rowOff>
    </xdr:to>
    <xdr:pic>
      <xdr:nvPicPr>
        <xdr:cNvPr id="3" name="Picture 8"/>
        <xdr:cNvPicPr preferRelativeResize="1">
          <a:picLocks noChangeAspect="1"/>
        </xdr:cNvPicPr>
      </xdr:nvPicPr>
      <xdr:blipFill>
        <a:blip r:embed="rId3"/>
        <a:stretch>
          <a:fillRect/>
        </a:stretch>
      </xdr:blipFill>
      <xdr:spPr>
        <a:xfrm>
          <a:off x="5276850" y="1190625"/>
          <a:ext cx="381000" cy="228600"/>
        </a:xfrm>
        <a:prstGeom prst="rect">
          <a:avLst/>
        </a:prstGeom>
        <a:noFill/>
        <a:ln w="9525" cmpd="sng">
          <a:noFill/>
        </a:ln>
      </xdr:spPr>
    </xdr:pic>
    <xdr:clientData/>
  </xdr:twoCellAnchor>
  <xdr:twoCellAnchor>
    <xdr:from>
      <xdr:col>6</xdr:col>
      <xdr:colOff>114300</xdr:colOff>
      <xdr:row>1</xdr:row>
      <xdr:rowOff>47625</xdr:rowOff>
    </xdr:from>
    <xdr:to>
      <xdr:col>7</xdr:col>
      <xdr:colOff>552450</xdr:colOff>
      <xdr:row>3</xdr:row>
      <xdr:rowOff>85725</xdr:rowOff>
    </xdr:to>
    <xdr:pic>
      <xdr:nvPicPr>
        <xdr:cNvPr id="4" name="Obraz 2"/>
        <xdr:cNvPicPr preferRelativeResize="1">
          <a:picLocks noChangeAspect="1"/>
        </xdr:cNvPicPr>
      </xdr:nvPicPr>
      <xdr:blipFill>
        <a:blip r:embed="rId4"/>
        <a:stretch>
          <a:fillRect/>
        </a:stretch>
      </xdr:blipFill>
      <xdr:spPr>
        <a:xfrm>
          <a:off x="4295775" y="238125"/>
          <a:ext cx="1152525" cy="628650"/>
        </a:xfrm>
        <a:prstGeom prst="rect">
          <a:avLst/>
        </a:prstGeom>
        <a:noFill/>
        <a:ln w="9525" cmpd="sng">
          <a:noFill/>
        </a:ln>
      </xdr:spPr>
    </xdr:pic>
    <xdr:clientData/>
  </xdr:twoCellAnchor>
  <xdr:twoCellAnchor>
    <xdr:from>
      <xdr:col>11</xdr:col>
      <xdr:colOff>114300</xdr:colOff>
      <xdr:row>30</xdr:row>
      <xdr:rowOff>38100</xdr:rowOff>
    </xdr:from>
    <xdr:to>
      <xdr:col>11</xdr:col>
      <xdr:colOff>1781175</xdr:colOff>
      <xdr:row>34</xdr:row>
      <xdr:rowOff>142875</xdr:rowOff>
    </xdr:to>
    <xdr:sp>
      <xdr:nvSpPr>
        <xdr:cNvPr id="5" name="pole tekstowe 1"/>
        <xdr:cNvSpPr txBox="1">
          <a:spLocks noChangeArrowheads="1"/>
        </xdr:cNvSpPr>
      </xdr:nvSpPr>
      <xdr:spPr>
        <a:xfrm>
          <a:off x="7934325" y="6296025"/>
          <a:ext cx="1666875" cy="866775"/>
        </a:xfrm>
        <a:prstGeom prst="rect">
          <a:avLst/>
        </a:prstGeom>
        <a:solidFill>
          <a:srgbClr val="F2DCDB">
            <a:alpha val="50000"/>
          </a:srgbClr>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Z lewej strony zielonej linii kropkowej</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zmienia się spód pręta</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(zbrojenie dolne zmienia się rolą z górnym)</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Należy skorygować dane  dotyczące  zbrojenia</a:t>
          </a:r>
          <a:r>
            <a:rPr lang="en-US" cap="none" sz="1000" b="0" i="0" u="none" baseline="0">
              <a:solidFill>
                <a:srgbClr val="000000"/>
              </a:solidFill>
              <a:latin typeface="Calibri"/>
              <a:ea typeface="Calibri"/>
              <a:cs typeface="Calibri"/>
            </a:rPr>
            <a:t> </a:t>
          </a:r>
        </a:p>
      </xdr:txBody>
    </xdr:sp>
    <xdr:clientData/>
  </xdr:twoCellAnchor>
  <xdr:twoCellAnchor>
    <xdr:from>
      <xdr:col>10</xdr:col>
      <xdr:colOff>190500</xdr:colOff>
      <xdr:row>30</xdr:row>
      <xdr:rowOff>142875</xdr:rowOff>
    </xdr:from>
    <xdr:to>
      <xdr:col>11</xdr:col>
      <xdr:colOff>114300</xdr:colOff>
      <xdr:row>32</xdr:row>
      <xdr:rowOff>85725</xdr:rowOff>
    </xdr:to>
    <xdr:sp>
      <xdr:nvSpPr>
        <xdr:cNvPr id="6" name="Łącznik prosty ze strzałką 3"/>
        <xdr:cNvSpPr>
          <a:spLocks/>
        </xdr:cNvSpPr>
      </xdr:nvSpPr>
      <xdr:spPr>
        <a:xfrm flipH="1" flipV="1">
          <a:off x="7362825" y="6400800"/>
          <a:ext cx="571500" cy="323850"/>
        </a:xfrm>
        <a:prstGeom prst="straightConnector1">
          <a:avLst/>
        </a:prstGeom>
        <a:noFill/>
        <a:ln w="31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59</xdr:col>
      <xdr:colOff>180975</xdr:colOff>
      <xdr:row>2</xdr:row>
      <xdr:rowOff>28575</xdr:rowOff>
    </xdr:from>
    <xdr:to>
      <xdr:col>59</xdr:col>
      <xdr:colOff>923925</xdr:colOff>
      <xdr:row>3</xdr:row>
      <xdr:rowOff>190500</xdr:rowOff>
    </xdr:to>
    <xdr:pic>
      <xdr:nvPicPr>
        <xdr:cNvPr id="1" name="Picture 7"/>
        <xdr:cNvPicPr preferRelativeResize="1">
          <a:picLocks noChangeAspect="1"/>
        </xdr:cNvPicPr>
      </xdr:nvPicPr>
      <xdr:blipFill>
        <a:blip r:embed="rId1"/>
        <a:stretch>
          <a:fillRect/>
        </a:stretch>
      </xdr:blipFill>
      <xdr:spPr>
        <a:xfrm>
          <a:off x="60493275" y="495300"/>
          <a:ext cx="742950" cy="457200"/>
        </a:xfrm>
        <a:prstGeom prst="rect">
          <a:avLst/>
        </a:prstGeom>
        <a:noFill/>
        <a:ln w="9525" cmpd="sng">
          <a:noFill/>
        </a:ln>
      </xdr:spPr>
    </xdr:pic>
    <xdr:clientData/>
  </xdr:twoCellAnchor>
  <xdr:twoCellAnchor>
    <xdr:from>
      <xdr:col>29</xdr:col>
      <xdr:colOff>180975</xdr:colOff>
      <xdr:row>1</xdr:row>
      <xdr:rowOff>114300</xdr:rowOff>
    </xdr:from>
    <xdr:to>
      <xdr:col>30</xdr:col>
      <xdr:colOff>552450</xdr:colOff>
      <xdr:row>3</xdr:row>
      <xdr:rowOff>171450</xdr:rowOff>
    </xdr:to>
    <xdr:pic>
      <xdr:nvPicPr>
        <xdr:cNvPr id="2" name="Obraz 2"/>
        <xdr:cNvPicPr preferRelativeResize="1">
          <a:picLocks noChangeAspect="1"/>
        </xdr:cNvPicPr>
      </xdr:nvPicPr>
      <xdr:blipFill>
        <a:blip r:embed="rId2"/>
        <a:stretch>
          <a:fillRect/>
        </a:stretch>
      </xdr:blipFill>
      <xdr:spPr>
        <a:xfrm>
          <a:off x="29060775" y="285750"/>
          <a:ext cx="1419225" cy="647700"/>
        </a:xfrm>
        <a:prstGeom prst="rect">
          <a:avLst/>
        </a:prstGeom>
        <a:noFill/>
        <a:ln w="9525" cmpd="sng">
          <a:noFill/>
        </a:ln>
      </xdr:spPr>
    </xdr:pic>
    <xdr:clientData/>
  </xdr:twoCellAnchor>
  <xdr:twoCellAnchor>
    <xdr:from>
      <xdr:col>54</xdr:col>
      <xdr:colOff>381000</xdr:colOff>
      <xdr:row>1</xdr:row>
      <xdr:rowOff>114300</xdr:rowOff>
    </xdr:from>
    <xdr:to>
      <xdr:col>55</xdr:col>
      <xdr:colOff>752475</xdr:colOff>
      <xdr:row>3</xdr:row>
      <xdr:rowOff>161925</xdr:rowOff>
    </xdr:to>
    <xdr:pic>
      <xdr:nvPicPr>
        <xdr:cNvPr id="3" name="Obraz 2"/>
        <xdr:cNvPicPr preferRelativeResize="1">
          <a:picLocks noChangeAspect="1"/>
        </xdr:cNvPicPr>
      </xdr:nvPicPr>
      <xdr:blipFill>
        <a:blip r:embed="rId3"/>
        <a:stretch>
          <a:fillRect/>
        </a:stretch>
      </xdr:blipFill>
      <xdr:spPr>
        <a:xfrm>
          <a:off x="55454550" y="285750"/>
          <a:ext cx="141922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chodor-projekt.net/encyclopedia/nowy-algorytm-projektowania-zelbetu/"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A58"/>
  <sheetViews>
    <sheetView showGridLines="0" showRowColHeaders="0" tabSelected="1" zoomScale="65" zoomScaleNormal="65" zoomScalePageLayoutView="0" workbookViewId="0" topLeftCell="A2">
      <selection activeCell="F15" sqref="F15"/>
    </sheetView>
  </sheetViews>
  <sheetFormatPr defaultColWidth="9.140625" defaultRowHeight="12.75"/>
  <cols>
    <col min="1" max="1" width="5.57421875" style="35" customWidth="1"/>
    <col min="2" max="2" width="16.28125" style="35" customWidth="1"/>
    <col min="3" max="3" width="10.7109375" style="35" customWidth="1"/>
    <col min="4" max="4" width="9.7109375" style="35" customWidth="1"/>
    <col min="5" max="5" width="10.7109375" style="35" customWidth="1"/>
    <col min="6" max="6" width="9.7109375" style="35" customWidth="1"/>
    <col min="7" max="7" width="10.7109375" style="66" customWidth="1"/>
    <col min="8" max="8" width="11.8515625" style="35" customWidth="1"/>
    <col min="9" max="9" width="10.8515625" style="35" customWidth="1"/>
    <col min="10" max="10" width="11.421875" style="35" customWidth="1"/>
    <col min="11" max="11" width="9.7109375" style="35" customWidth="1"/>
    <col min="12" max="12" width="64.00390625" style="318" customWidth="1"/>
    <col min="13" max="16384" width="9.140625" style="35" customWidth="1"/>
  </cols>
  <sheetData>
    <row r="1" spans="7:12" ht="15" thickBot="1">
      <c r="G1" s="35"/>
      <c r="L1" s="331" t="s">
        <v>244</v>
      </c>
    </row>
    <row r="2" spans="1:12" ht="31.5" customHeight="1" thickBot="1" thickTop="1">
      <c r="A2" s="191"/>
      <c r="B2" s="189" t="s">
        <v>14</v>
      </c>
      <c r="C2" s="67" t="s">
        <v>195</v>
      </c>
      <c r="D2" s="111"/>
      <c r="E2" s="111"/>
      <c r="F2" s="111"/>
      <c r="G2" s="112"/>
      <c r="H2" s="112"/>
      <c r="I2" s="113" t="s">
        <v>15</v>
      </c>
      <c r="J2" s="37"/>
      <c r="K2" s="38"/>
      <c r="L2" s="320" t="s">
        <v>207</v>
      </c>
    </row>
    <row r="3" spans="1:12" ht="15" thickTop="1">
      <c r="A3" s="191"/>
      <c r="B3" s="190" t="s">
        <v>16</v>
      </c>
      <c r="C3" s="68" t="s">
        <v>193</v>
      </c>
      <c r="D3" s="40"/>
      <c r="E3" s="41"/>
      <c r="F3" s="114"/>
      <c r="G3" s="114"/>
      <c r="H3" s="114"/>
      <c r="I3" s="42" t="s">
        <v>17</v>
      </c>
      <c r="J3" s="40" t="s">
        <v>18</v>
      </c>
      <c r="K3" s="43" t="s">
        <v>19</v>
      </c>
      <c r="L3" s="321" t="s">
        <v>245</v>
      </c>
    </row>
    <row r="4" spans="1:12" ht="17.25">
      <c r="A4" s="191"/>
      <c r="B4" s="190" t="s">
        <v>20</v>
      </c>
      <c r="C4" s="68" t="s">
        <v>194</v>
      </c>
      <c r="D4" s="41"/>
      <c r="E4" s="41"/>
      <c r="F4" s="115"/>
      <c r="G4" s="115"/>
      <c r="H4" s="115"/>
      <c r="I4" s="90" t="s">
        <v>21</v>
      </c>
      <c r="J4" s="106">
        <f ca="1">TODAY()</f>
        <v>42953</v>
      </c>
      <c r="K4" s="91">
        <v>25</v>
      </c>
      <c r="L4" s="322" t="s">
        <v>206</v>
      </c>
    </row>
    <row r="5" spans="1:12" ht="18">
      <c r="A5" s="191"/>
      <c r="B5" s="79"/>
      <c r="C5" s="45" t="s">
        <v>232</v>
      </c>
      <c r="D5" s="46"/>
      <c r="E5" s="116"/>
      <c r="F5" s="115"/>
      <c r="G5" s="115"/>
      <c r="H5" s="115"/>
      <c r="I5" s="47" t="s">
        <v>191</v>
      </c>
      <c r="J5" s="48" t="s">
        <v>192</v>
      </c>
      <c r="K5" s="49" t="s">
        <v>22</v>
      </c>
      <c r="L5" s="323" t="s">
        <v>228</v>
      </c>
    </row>
    <row r="6" spans="1:53" ht="18">
      <c r="A6" s="191"/>
      <c r="B6" s="271" t="s">
        <v>196</v>
      </c>
      <c r="D6" s="271"/>
      <c r="E6" s="272"/>
      <c r="F6" s="273"/>
      <c r="G6" s="271"/>
      <c r="H6" s="273"/>
      <c r="I6" s="274" t="s">
        <v>23</v>
      </c>
      <c r="J6" s="275" t="s">
        <v>10</v>
      </c>
      <c r="K6" s="276" t="s">
        <v>200</v>
      </c>
      <c r="L6" s="324" t="str">
        <f>IF(OR(f_ck&gt;99,f_ck&lt;25),"Beton niekonstrukcyjny fcu&lt;25","-")</f>
        <v>-</v>
      </c>
      <c r="AH6" s="44"/>
      <c r="AI6" s="44"/>
      <c r="AJ6" s="44"/>
      <c r="AK6" s="44"/>
      <c r="AL6" s="44"/>
      <c r="AM6" s="89"/>
      <c r="AN6" s="89"/>
      <c r="AO6" s="89"/>
      <c r="AP6" s="89"/>
      <c r="AQ6" s="89"/>
      <c r="AR6" s="89"/>
      <c r="AS6" s="89"/>
      <c r="AT6" s="89"/>
      <c r="AU6" s="89"/>
      <c r="AV6" s="89"/>
      <c r="AW6" s="89"/>
      <c r="AX6" s="89"/>
      <c r="AY6" s="89"/>
      <c r="AZ6" s="89"/>
      <c r="BA6" s="89"/>
    </row>
    <row r="7" spans="2:53" ht="15">
      <c r="B7" s="277"/>
      <c r="C7" s="278"/>
      <c r="D7" s="278"/>
      <c r="E7" s="278"/>
      <c r="F7" s="279"/>
      <c r="G7" s="280"/>
      <c r="H7" s="280"/>
      <c r="I7" s="280"/>
      <c r="J7" s="280"/>
      <c r="K7" s="281"/>
      <c r="L7" s="324" t="str">
        <f>IF(OR(f_yk&gt;500,f_yk&lt;250),"Sprawdź fy","-")</f>
        <v>-</v>
      </c>
      <c r="AH7" s="44"/>
      <c r="AI7" s="44"/>
      <c r="AJ7" s="44"/>
      <c r="AK7" s="44"/>
      <c r="AL7" s="44"/>
      <c r="AM7" s="89"/>
      <c r="AN7" s="89"/>
      <c r="AO7" s="89"/>
      <c r="AP7" s="89"/>
      <c r="AQ7" s="89"/>
      <c r="AR7" s="89"/>
      <c r="AS7" s="89"/>
      <c r="AT7" s="89"/>
      <c r="AU7" s="89"/>
      <c r="AV7" s="89"/>
      <c r="AW7" s="89"/>
      <c r="AX7" s="89"/>
      <c r="AY7" s="89"/>
      <c r="AZ7" s="89"/>
      <c r="BA7" s="89"/>
    </row>
    <row r="8" spans="2:53" ht="15">
      <c r="B8" s="301"/>
      <c r="C8" s="302" t="s">
        <v>208</v>
      </c>
      <c r="D8" s="269"/>
      <c r="E8" s="269"/>
      <c r="F8" s="108"/>
      <c r="G8" s="69"/>
      <c r="H8" s="69"/>
      <c r="I8" s="69"/>
      <c r="J8" s="69"/>
      <c r="K8" s="282"/>
      <c r="L8" s="325" t="str">
        <f>IF(c_u&gt;65,"Sprawdż otulenie górne z warunku klasy ekspozycji","-")</f>
        <v>-</v>
      </c>
      <c r="AH8" s="44"/>
      <c r="AI8" s="44"/>
      <c r="AJ8" s="44"/>
      <c r="AK8" s="44"/>
      <c r="AL8" s="44"/>
      <c r="AM8" s="89"/>
      <c r="AN8" s="89"/>
      <c r="AO8" s="89"/>
      <c r="AP8" s="89"/>
      <c r="AQ8" s="89"/>
      <c r="AR8" s="89"/>
      <c r="AS8" s="89"/>
      <c r="AT8" s="89"/>
      <c r="AU8" s="89"/>
      <c r="AV8" s="89"/>
      <c r="AW8" s="89"/>
      <c r="AX8" s="89"/>
      <c r="AY8" s="89"/>
      <c r="AZ8" s="89"/>
      <c r="BA8" s="89"/>
    </row>
    <row r="9" spans="2:39" ht="15">
      <c r="B9" s="283" t="s">
        <v>24</v>
      </c>
      <c r="C9" s="69"/>
      <c r="D9" s="69"/>
      <c r="E9" s="69"/>
      <c r="F9" s="69"/>
      <c r="G9" s="270"/>
      <c r="H9" s="270"/>
      <c r="I9" s="270"/>
      <c r="J9" s="270"/>
      <c r="K9" s="284"/>
      <c r="L9" s="325" t="str">
        <f>IF(c_l&gt;65,"Sprawdż otulenie dolne z warunku klasy ekspozycji","-")</f>
        <v>-</v>
      </c>
      <c r="AI9" s="44"/>
      <c r="AJ9" s="44"/>
      <c r="AK9" s="44"/>
      <c r="AL9" s="44"/>
      <c r="AM9" s="44"/>
    </row>
    <row r="10" spans="2:35" ht="18">
      <c r="B10" s="285" t="s">
        <v>25</v>
      </c>
      <c r="C10" s="108">
        <v>35</v>
      </c>
      <c r="D10" s="87" t="s">
        <v>0</v>
      </c>
      <c r="E10" s="71" t="s">
        <v>8</v>
      </c>
      <c r="F10" s="109">
        <v>1.4</v>
      </c>
      <c r="G10" s="286"/>
      <c r="H10" s="69"/>
      <c r="I10" s="73"/>
      <c r="J10" s="74"/>
      <c r="K10" s="287"/>
      <c r="L10" s="324" t="str">
        <f>IF(AND(klasa&lt;&gt;"A",klasa&lt;&gt;"B",klasa&lt;&gt;"C"),"Klasa plastyczności stali tylko A,B luib C","-")</f>
        <v>-</v>
      </c>
      <c r="AH10" s="52"/>
      <c r="AI10" s="44"/>
    </row>
    <row r="11" spans="2:12" ht="18">
      <c r="B11" s="285" t="s">
        <v>55</v>
      </c>
      <c r="C11" s="108">
        <v>500</v>
      </c>
      <c r="D11" s="87" t="s">
        <v>0</v>
      </c>
      <c r="E11" s="71" t="s">
        <v>7</v>
      </c>
      <c r="F11" s="70">
        <v>1.15</v>
      </c>
      <c r="G11" s="288" t="s">
        <v>205</v>
      </c>
      <c r="H11" s="70" t="s">
        <v>202</v>
      </c>
      <c r="I11" s="69"/>
      <c r="J11" s="69"/>
      <c r="K11" s="287"/>
      <c r="L11" s="324" t="str">
        <f>IF(OR(S_min&lt;F_u,S_min&lt;F_l,S_min&lt;20),"Za mały prześwit między oprętami.","-")</f>
        <v>-</v>
      </c>
    </row>
    <row r="12" spans="2:12" ht="15">
      <c r="B12" s="289"/>
      <c r="C12" s="69"/>
      <c r="D12" s="75"/>
      <c r="E12" s="69"/>
      <c r="F12" s="69"/>
      <c r="G12" s="76"/>
      <c r="H12" s="69"/>
      <c r="I12" s="69"/>
      <c r="J12" s="69"/>
      <c r="K12" s="287"/>
      <c r="L12" s="324" t="str">
        <f>IF(S_min&lt;50,"Maksymalna średnica kruszywa "&amp;ROUND(S_min-5,1)&amp;" mm","-")</f>
        <v>-</v>
      </c>
    </row>
    <row r="13" spans="2:12" ht="15">
      <c r="B13" s="283" t="s">
        <v>26</v>
      </c>
      <c r="C13" s="69"/>
      <c r="D13" s="75"/>
      <c r="E13" s="77" t="s">
        <v>30</v>
      </c>
      <c r="F13" s="118" t="s">
        <v>34</v>
      </c>
      <c r="G13" s="286"/>
      <c r="H13" s="69"/>
      <c r="I13" s="69"/>
      <c r="J13" s="69"/>
      <c r="K13" s="287"/>
      <c r="L13" s="326"/>
    </row>
    <row r="14" spans="2:32" ht="18">
      <c r="B14" s="285" t="s">
        <v>1</v>
      </c>
      <c r="C14" s="108">
        <v>450</v>
      </c>
      <c r="D14" s="87" t="s">
        <v>2</v>
      </c>
      <c r="E14" s="117" t="s">
        <v>31</v>
      </c>
      <c r="F14" s="108">
        <v>30</v>
      </c>
      <c r="G14" s="87" t="s">
        <v>2</v>
      </c>
      <c r="H14" s="69"/>
      <c r="I14" s="69"/>
      <c r="J14" s="69"/>
      <c r="K14" s="287"/>
      <c r="L14" s="323" t="s">
        <v>229</v>
      </c>
      <c r="O14" s="44"/>
      <c r="P14" s="44"/>
      <c r="Q14" s="44"/>
      <c r="R14" s="44"/>
      <c r="S14" s="44"/>
      <c r="AD14" s="44"/>
      <c r="AE14" s="44"/>
      <c r="AF14" s="44"/>
    </row>
    <row r="15" spans="2:32" ht="18">
      <c r="B15" s="285" t="s">
        <v>3</v>
      </c>
      <c r="C15" s="108">
        <v>500</v>
      </c>
      <c r="D15" s="87" t="s">
        <v>2</v>
      </c>
      <c r="E15" s="117" t="s">
        <v>32</v>
      </c>
      <c r="F15" s="108">
        <v>30</v>
      </c>
      <c r="G15" s="87" t="s">
        <v>2</v>
      </c>
      <c r="H15" s="69"/>
      <c r="I15" s="69"/>
      <c r="J15" s="69"/>
      <c r="K15" s="287"/>
      <c r="L15" s="324" t="str">
        <f>IF(AND(Rodzaj_elem=1,A_st&lt;A_sminP),"Płyta: zbrojenie dolne mniejsze od minimalnego Amin= "&amp;ROUND(A_sminP,1)&amp;" mm2","-")</f>
        <v>-</v>
      </c>
      <c r="O15" s="44"/>
      <c r="P15" s="44"/>
      <c r="Q15" s="44"/>
      <c r="R15" s="44"/>
      <c r="S15" s="44"/>
      <c r="AD15" s="44"/>
      <c r="AE15" s="44"/>
      <c r="AF15" s="44"/>
    </row>
    <row r="16" spans="2:32" ht="18">
      <c r="B16" s="290"/>
      <c r="C16" s="69"/>
      <c r="D16" s="72"/>
      <c r="E16" s="117" t="s">
        <v>33</v>
      </c>
      <c r="F16" s="108">
        <v>30</v>
      </c>
      <c r="G16" s="87" t="s">
        <v>2</v>
      </c>
      <c r="H16" s="69"/>
      <c r="I16" s="78"/>
      <c r="J16" s="78"/>
      <c r="K16" s="291"/>
      <c r="L16" s="327" t="str">
        <f>IF(AND(Rodzaj_elem=1,A_sc&lt;A_sminP),"Płyta:z brojenie górne mniejsze od minimalnego Amin= "&amp;ROUND(A_sminP,1)&amp;" mm2","-")</f>
        <v>-</v>
      </c>
      <c r="N16" s="44"/>
      <c r="O16" s="55"/>
      <c r="P16" s="55"/>
      <c r="Q16" s="55"/>
      <c r="R16" s="55"/>
      <c r="S16" s="55"/>
      <c r="AD16" s="55"/>
      <c r="AE16" s="55"/>
      <c r="AF16" s="55"/>
    </row>
    <row r="17" spans="2:32" ht="15">
      <c r="B17" s="283" t="s">
        <v>27</v>
      </c>
      <c r="C17" s="79"/>
      <c r="D17" s="78"/>
      <c r="E17" s="69"/>
      <c r="F17" s="80"/>
      <c r="G17" s="81"/>
      <c r="H17" s="78"/>
      <c r="I17" s="78"/>
      <c r="J17" s="78"/>
      <c r="K17" s="291"/>
      <c r="L17" s="324" t="str">
        <f>IF(AND(Rodzaj_elem=2,A_st&lt;A_sminB),"Belka: zbrojenie dolne mniejsze od minimalnego Amin= "&amp;ROUND(A_sminB,1)&amp;" mm2","-")</f>
        <v>-</v>
      </c>
      <c r="N17" s="44"/>
      <c r="O17" s="55"/>
      <c r="P17" s="55"/>
      <c r="Q17" s="55"/>
      <c r="R17" s="55"/>
      <c r="S17" s="55"/>
      <c r="AD17" s="55"/>
      <c r="AE17" s="55"/>
      <c r="AF17" s="55"/>
    </row>
    <row r="18" spans="2:32" ht="15">
      <c r="B18" s="289"/>
      <c r="C18" s="56" t="s">
        <v>37</v>
      </c>
      <c r="D18" s="56" t="s">
        <v>38</v>
      </c>
      <c r="E18" s="56" t="s">
        <v>39</v>
      </c>
      <c r="F18" s="56" t="s">
        <v>4</v>
      </c>
      <c r="G18" s="56" t="s">
        <v>123</v>
      </c>
      <c r="H18" s="69"/>
      <c r="I18" s="69"/>
      <c r="J18" s="79"/>
      <c r="K18" s="287"/>
      <c r="L18" s="327" t="str">
        <f>IF(AND(Rodzaj_elem=2,A_sc&lt;A_sminB),"Belka: zbrojenie górne mniejsze od minimalnego Amin= "&amp;ROUND(A_sminB,1)&amp;" mm2","-")</f>
        <v>-</v>
      </c>
      <c r="N18" s="44"/>
      <c r="O18" s="44"/>
      <c r="P18" s="44"/>
      <c r="Q18" s="44"/>
      <c r="R18" s="44"/>
      <c r="S18" s="44"/>
      <c r="AD18" s="44"/>
      <c r="AE18" s="44"/>
      <c r="AF18" s="44"/>
    </row>
    <row r="19" spans="2:32" ht="15">
      <c r="B19" s="285" t="s">
        <v>28</v>
      </c>
      <c r="C19" s="10">
        <v>12</v>
      </c>
      <c r="D19" s="10">
        <v>4</v>
      </c>
      <c r="E19" s="57">
        <f>PI()/4*F_u^2*n_u</f>
        <v>452.3893421169302</v>
      </c>
      <c r="F19" s="58">
        <f>100*E19/C$14/C$15</f>
        <v>0.20106192982974677</v>
      </c>
      <c r="G19" s="59">
        <f>(b-2*c_u-n_u*F_u)/(n_u-1)</f>
        <v>130.66666666666666</v>
      </c>
      <c r="H19" s="82" t="str">
        <f>IF(G19&lt;MAX(25,C19),"TOO MANY",IF(F19&gt;2,"As' &gt; 2%","."))</f>
        <v>.</v>
      </c>
      <c r="I19" s="81"/>
      <c r="J19" s="81"/>
      <c r="K19" s="292"/>
      <c r="L19" s="324" t="str">
        <f>IF(AND(Rodzaj_elem=3,A_st&lt;A_sminSC),"Ściana: zbrojenie strony &lt;dół&gt;  mniejsze od minimalnego Amin= "&amp;ROUND(A_sminSC,1)&amp;" mm2","-")</f>
        <v>-</v>
      </c>
      <c r="N19" s="44"/>
      <c r="O19" s="54"/>
      <c r="P19" s="54"/>
      <c r="Q19" s="54"/>
      <c r="R19" s="55"/>
      <c r="S19" s="54"/>
      <c r="AD19" s="55"/>
      <c r="AE19" s="55"/>
      <c r="AF19" s="55"/>
    </row>
    <row r="20" spans="2:32" ht="18">
      <c r="B20" s="285" t="s">
        <v>29</v>
      </c>
      <c r="C20" s="11">
        <v>12</v>
      </c>
      <c r="D20" s="11">
        <v>4</v>
      </c>
      <c r="E20" s="60">
        <f>PI()/4*F_l^2*n_l</f>
        <v>452.3893421169302</v>
      </c>
      <c r="F20" s="61">
        <f>100*E20/C$14/C$15</f>
        <v>0.20106192982974677</v>
      </c>
      <c r="G20" s="62">
        <f>(b-2*c_l-n_l*F_l)/(n_l-1)</f>
        <v>130.66666666666666</v>
      </c>
      <c r="H20" s="286"/>
      <c r="I20" s="81" t="s">
        <v>133</v>
      </c>
      <c r="J20" s="81"/>
      <c r="K20" s="292"/>
      <c r="L20" s="327" t="str">
        <f>IF(AND(Rodzaj_elem=3,A_st&lt;A_sminP),"Zbrojenie strony &lt;góra&gt; mniejsze od minimalnego Amin= "&amp;ROUND(A_sminP,1)&amp;" mm2","-")</f>
        <v>-</v>
      </c>
      <c r="M20" s="44"/>
      <c r="N20" s="44"/>
      <c r="O20" s="44"/>
      <c r="P20" s="44"/>
      <c r="Q20" s="44"/>
      <c r="R20" s="44"/>
      <c r="S20" s="44"/>
      <c r="AD20" s="44"/>
      <c r="AE20" s="44"/>
      <c r="AF20" s="44"/>
    </row>
    <row r="21" spans="2:32" ht="15">
      <c r="B21" s="290"/>
      <c r="C21" s="69"/>
      <c r="D21" s="69"/>
      <c r="E21" s="69"/>
      <c r="F21" s="72"/>
      <c r="G21" s="76"/>
      <c r="H21" s="83"/>
      <c r="I21" s="83"/>
      <c r="J21" s="84"/>
      <c r="K21" s="293"/>
      <c r="L21" s="324" t="str">
        <f>IF(AND(Rodzaj_elem=4,A_st&lt;A_sminS),"Zbrojenie strony &lt;dół&gt; mniejsze od minimalnego Amin= "&amp;ROUND(A_sminS,1)&amp;" mm2","-")</f>
        <v>-</v>
      </c>
      <c r="M21" s="44"/>
      <c r="N21" s="44"/>
      <c r="O21" s="44"/>
      <c r="P21" s="44"/>
      <c r="Q21" s="44"/>
      <c r="R21" s="44"/>
      <c r="S21" s="44"/>
      <c r="AD21" s="44"/>
      <c r="AE21" s="44"/>
      <c r="AF21" s="44"/>
    </row>
    <row r="22" spans="2:32" ht="15">
      <c r="B22" s="290"/>
      <c r="C22" s="69"/>
      <c r="D22" s="69"/>
      <c r="E22" s="69"/>
      <c r="F22" s="69"/>
      <c r="G22" s="286"/>
      <c r="H22" s="69"/>
      <c r="I22" s="69"/>
      <c r="J22" s="84"/>
      <c r="K22" s="293"/>
      <c r="L22" s="327" t="str">
        <f>IF(AND(Rodzaj_elem=4,A_sc&lt;A_sminS),"Zbrojenie strony &lt;góra&gt; mniejsze od minimalnego Amin= "&amp;ROUND(A_sminS,1)&amp;" mm2","-")</f>
        <v>-</v>
      </c>
      <c r="M22" s="44"/>
      <c r="N22" s="44"/>
      <c r="AD22" s="44"/>
      <c r="AE22" s="44"/>
      <c r="AF22" s="44"/>
    </row>
    <row r="23" spans="2:32" ht="15">
      <c r="B23" s="289"/>
      <c r="C23" s="332" t="str">
        <f>Robol!B3</f>
        <v>Wykres interakcji M-N dla  przekroju 450 x 500  z betonu C35</v>
      </c>
      <c r="D23" s="333"/>
      <c r="E23" s="333"/>
      <c r="F23" s="333"/>
      <c r="G23" s="333"/>
      <c r="H23" s="333"/>
      <c r="I23" s="333"/>
      <c r="J23" s="84"/>
      <c r="K23" s="293"/>
      <c r="L23" s="323" t="s">
        <v>230</v>
      </c>
      <c r="M23" s="268"/>
      <c r="N23" s="44"/>
      <c r="O23" s="268"/>
      <c r="AD23" s="63"/>
      <c r="AE23" s="63"/>
      <c r="AF23" s="63"/>
    </row>
    <row r="24" spans="2:32" ht="15">
      <c r="B24" s="289"/>
      <c r="C24" s="72"/>
      <c r="D24" s="72"/>
      <c r="E24" s="85"/>
      <c r="F24" s="72"/>
      <c r="G24" s="83"/>
      <c r="H24" s="83"/>
      <c r="I24" s="83"/>
      <c r="J24" s="84"/>
      <c r="K24" s="293"/>
      <c r="L24" s="324" t="str">
        <f>IF(AND(Rodzaj_elem=1,A_st&gt;A_smaxB),"Zbrojenie dolne wieksze  od maksymalnego poza zakładami Amax= "&amp;ROUND(A_smaxB,1)&amp;" mm2","-")</f>
        <v>-</v>
      </c>
      <c r="M24" s="268"/>
      <c r="AD24" s="63"/>
      <c r="AE24" s="63"/>
      <c r="AF24" s="63"/>
    </row>
    <row r="25" spans="2:13" ht="15">
      <c r="B25" s="289"/>
      <c r="C25" s="72"/>
      <c r="D25" s="72"/>
      <c r="E25" s="85"/>
      <c r="F25" s="72"/>
      <c r="G25" s="83"/>
      <c r="H25" s="83"/>
      <c r="I25" s="83"/>
      <c r="J25" s="84"/>
      <c r="K25" s="293"/>
      <c r="L25" s="324" t="str">
        <f>IF(AND(Rodzaj_elem=2,A_st&gt;A_smaxP),"Zbrojenie dolne większe  od maksymalnego poza zakładami Amax= "&amp;ROUND(A_smaxP,1)&amp;" mm2","-")</f>
        <v>-</v>
      </c>
      <c r="M25" s="268"/>
    </row>
    <row r="26" spans="2:13" ht="15">
      <c r="B26" s="289"/>
      <c r="C26" s="72"/>
      <c r="D26" s="72"/>
      <c r="E26" s="85"/>
      <c r="F26" s="72"/>
      <c r="G26" s="83"/>
      <c r="H26" s="83"/>
      <c r="I26" s="83"/>
      <c r="J26" s="84"/>
      <c r="K26" s="293"/>
      <c r="L26" s="324" t="str">
        <f>IF(AND(Rodzaj_elem=3,A_st&gt;A_smaxS),"Zbrojenie dolne większe  od maksymalnego poza zakładami Amax= "&amp;ROUND(A_smaxS,1)&amp;" mm2","-")</f>
        <v>-</v>
      </c>
      <c r="M26" s="268"/>
    </row>
    <row r="27" spans="2:13" ht="15">
      <c r="B27" s="289"/>
      <c r="C27" s="69"/>
      <c r="D27" s="69"/>
      <c r="E27" s="69"/>
      <c r="F27" s="69"/>
      <c r="G27" s="76"/>
      <c r="H27" s="69"/>
      <c r="I27" s="69"/>
      <c r="J27" s="69"/>
      <c r="K27" s="287"/>
      <c r="L27" s="324" t="str">
        <f>IF(AND(Rodzaj_elem=4,A_st&gt;A_smaxŚ),"Zbrojenie dolne większe  od maksymalnego poza zakładami Amax= "&amp;ROUND(A_smaxŚ,1)&amp;" mm2","-")</f>
        <v>-</v>
      </c>
      <c r="M27" s="268"/>
    </row>
    <row r="28" spans="2:12" ht="15">
      <c r="B28" s="289"/>
      <c r="C28" s="69"/>
      <c r="D28" s="69"/>
      <c r="E28" s="69"/>
      <c r="F28" s="69"/>
      <c r="G28" s="76"/>
      <c r="H28" s="69"/>
      <c r="I28" s="69"/>
      <c r="J28" s="69"/>
      <c r="K28" s="287"/>
      <c r="L28" s="328"/>
    </row>
    <row r="29" spans="2:12" ht="15">
      <c r="B29" s="289"/>
      <c r="C29" s="69"/>
      <c r="D29" s="69"/>
      <c r="E29" s="69"/>
      <c r="F29" s="69"/>
      <c r="G29" s="76"/>
      <c r="H29" s="69"/>
      <c r="I29" s="69"/>
      <c r="J29" s="69"/>
      <c r="K29" s="287"/>
      <c r="L29" s="328"/>
    </row>
    <row r="30" spans="2:12" ht="15">
      <c r="B30" s="289"/>
      <c r="C30" s="69"/>
      <c r="D30" s="69"/>
      <c r="E30" s="69"/>
      <c r="F30" s="69"/>
      <c r="G30" s="69"/>
      <c r="H30" s="69"/>
      <c r="I30" s="69"/>
      <c r="J30" s="69"/>
      <c r="K30" s="287"/>
      <c r="L30" s="329"/>
    </row>
    <row r="31" spans="2:12" ht="15">
      <c r="B31" s="289"/>
      <c r="C31" s="69"/>
      <c r="D31" s="69"/>
      <c r="E31" s="69"/>
      <c r="F31" s="69"/>
      <c r="G31" s="69"/>
      <c r="H31" s="69"/>
      <c r="I31" s="69"/>
      <c r="J31" s="69"/>
      <c r="K31" s="287"/>
      <c r="L31" s="329"/>
    </row>
    <row r="32" spans="2:12" ht="15">
      <c r="B32" s="289"/>
      <c r="C32" s="69"/>
      <c r="D32" s="69"/>
      <c r="E32" s="69"/>
      <c r="F32" s="69"/>
      <c r="G32" s="69"/>
      <c r="H32" s="69"/>
      <c r="I32" s="69"/>
      <c r="J32" s="69"/>
      <c r="K32" s="287"/>
      <c r="L32" s="330"/>
    </row>
    <row r="33" spans="2:12" ht="15">
      <c r="B33" s="289"/>
      <c r="C33" s="69"/>
      <c r="D33" s="69"/>
      <c r="E33" s="69"/>
      <c r="F33" s="69"/>
      <c r="G33" s="69"/>
      <c r="H33" s="69"/>
      <c r="I33" s="69"/>
      <c r="J33" s="69"/>
      <c r="K33" s="287"/>
      <c r="L33" s="330"/>
    </row>
    <row r="34" spans="2:12" ht="15">
      <c r="B34" s="289"/>
      <c r="C34" s="69"/>
      <c r="D34" s="69"/>
      <c r="E34" s="69"/>
      <c r="F34" s="69"/>
      <c r="G34" s="69"/>
      <c r="H34" s="69"/>
      <c r="I34" s="69"/>
      <c r="J34" s="69"/>
      <c r="K34" s="287"/>
      <c r="L34" s="329"/>
    </row>
    <row r="35" spans="2:12" ht="15">
      <c r="B35" s="289"/>
      <c r="C35" s="69"/>
      <c r="D35" s="69"/>
      <c r="E35" s="69"/>
      <c r="F35" s="69"/>
      <c r="G35" s="69"/>
      <c r="H35" s="69"/>
      <c r="I35" s="69"/>
      <c r="J35" s="69"/>
      <c r="K35" s="287"/>
      <c r="L35" s="329"/>
    </row>
    <row r="36" spans="2:12" ht="15">
      <c r="B36" s="289"/>
      <c r="C36" s="69"/>
      <c r="D36" s="69"/>
      <c r="E36" s="69"/>
      <c r="F36" s="69"/>
      <c r="G36" s="76"/>
      <c r="H36" s="69"/>
      <c r="I36" s="69"/>
      <c r="J36" s="69"/>
      <c r="K36" s="287"/>
      <c r="L36" s="329"/>
    </row>
    <row r="37" spans="2:12" ht="15">
      <c r="B37" s="289"/>
      <c r="C37" s="69"/>
      <c r="D37" s="69"/>
      <c r="E37" s="69"/>
      <c r="F37" s="69"/>
      <c r="G37" s="76"/>
      <c r="H37" s="69"/>
      <c r="I37" s="69"/>
      <c r="J37" s="69"/>
      <c r="K37" s="287"/>
      <c r="L37" s="329"/>
    </row>
    <row r="38" spans="2:12" ht="15">
      <c r="B38" s="289"/>
      <c r="C38" s="69"/>
      <c r="D38" s="69"/>
      <c r="E38" s="69"/>
      <c r="F38" s="69"/>
      <c r="G38" s="76"/>
      <c r="H38" s="69"/>
      <c r="I38" s="69"/>
      <c r="J38" s="69"/>
      <c r="K38" s="287"/>
      <c r="L38" s="329"/>
    </row>
    <row r="39" spans="2:12" ht="15">
      <c r="B39" s="289"/>
      <c r="C39" s="69"/>
      <c r="D39" s="69"/>
      <c r="E39" s="69"/>
      <c r="F39" s="69"/>
      <c r="G39" s="76"/>
      <c r="H39" s="69"/>
      <c r="I39" s="69"/>
      <c r="J39" s="69"/>
      <c r="K39" s="287"/>
      <c r="L39" s="329"/>
    </row>
    <row r="40" spans="2:12" ht="15">
      <c r="B40" s="289"/>
      <c r="C40" s="69"/>
      <c r="D40" s="69"/>
      <c r="E40" s="69"/>
      <c r="F40" s="69"/>
      <c r="G40" s="76"/>
      <c r="H40" s="69"/>
      <c r="I40" s="69"/>
      <c r="J40" s="69"/>
      <c r="K40" s="287"/>
      <c r="L40" s="329"/>
    </row>
    <row r="41" spans="2:12" ht="15">
      <c r="B41" s="289"/>
      <c r="C41" s="69"/>
      <c r="D41" s="69"/>
      <c r="E41" s="69"/>
      <c r="F41" s="69"/>
      <c r="G41" s="76"/>
      <c r="H41" s="69"/>
      <c r="I41" s="69"/>
      <c r="J41" s="69"/>
      <c r="K41" s="287"/>
      <c r="L41" s="329"/>
    </row>
    <row r="42" spans="2:12" ht="15">
      <c r="B42" s="289"/>
      <c r="C42" s="69"/>
      <c r="D42" s="69"/>
      <c r="E42" s="69"/>
      <c r="F42" s="69"/>
      <c r="G42" s="76"/>
      <c r="H42" s="69"/>
      <c r="I42" s="69"/>
      <c r="J42" s="69"/>
      <c r="K42" s="287"/>
      <c r="L42" s="329"/>
    </row>
    <row r="43" spans="2:12" ht="15">
      <c r="B43" s="289"/>
      <c r="C43" s="69"/>
      <c r="D43" s="69"/>
      <c r="E43" s="69"/>
      <c r="F43" s="69"/>
      <c r="G43" s="76"/>
      <c r="H43" s="69"/>
      <c r="I43" s="69"/>
      <c r="J43" s="69"/>
      <c r="K43" s="287"/>
      <c r="L43" s="329"/>
    </row>
    <row r="44" spans="2:12" ht="15">
      <c r="B44" s="289"/>
      <c r="C44" s="69"/>
      <c r="D44" s="69"/>
      <c r="E44" s="69"/>
      <c r="F44" s="69"/>
      <c r="G44" s="76"/>
      <c r="H44" s="69"/>
      <c r="I44" s="69"/>
      <c r="J44" s="69"/>
      <c r="K44" s="287"/>
      <c r="L44" s="329"/>
    </row>
    <row r="45" spans="2:12" ht="15">
      <c r="B45" s="289"/>
      <c r="C45" s="69"/>
      <c r="D45" s="69"/>
      <c r="E45" s="69"/>
      <c r="F45" s="69"/>
      <c r="G45" s="76"/>
      <c r="H45" s="69"/>
      <c r="I45" s="69"/>
      <c r="J45" s="69"/>
      <c r="K45" s="287"/>
      <c r="L45" s="329"/>
    </row>
    <row r="46" spans="2:12" ht="15">
      <c r="B46" s="289"/>
      <c r="C46" s="69"/>
      <c r="D46" s="69"/>
      <c r="E46" s="69"/>
      <c r="F46" s="69"/>
      <c r="G46" s="76"/>
      <c r="H46" s="69"/>
      <c r="I46" s="69"/>
      <c r="J46" s="69"/>
      <c r="K46" s="287"/>
      <c r="L46" s="329"/>
    </row>
    <row r="47" spans="2:12" ht="15">
      <c r="B47" s="289"/>
      <c r="C47" s="69"/>
      <c r="D47" s="69"/>
      <c r="E47" s="69"/>
      <c r="F47" s="69"/>
      <c r="G47" s="76"/>
      <c r="H47" s="69"/>
      <c r="I47" s="69"/>
      <c r="J47" s="69"/>
      <c r="K47" s="287"/>
      <c r="L47" s="329"/>
    </row>
    <row r="48" spans="2:12" ht="15">
      <c r="B48" s="294"/>
      <c r="C48" s="69"/>
      <c r="D48" s="78"/>
      <c r="E48" s="78"/>
      <c r="F48" s="78"/>
      <c r="G48" s="86"/>
      <c r="H48" s="78"/>
      <c r="I48" s="78"/>
      <c r="J48" s="78"/>
      <c r="K48" s="291"/>
      <c r="L48" s="329"/>
    </row>
    <row r="49" spans="2:12" ht="15">
      <c r="B49" s="289"/>
      <c r="C49" s="69"/>
      <c r="D49" s="69"/>
      <c r="E49" s="69"/>
      <c r="F49" s="69"/>
      <c r="G49" s="76"/>
      <c r="H49" s="69"/>
      <c r="I49" s="69"/>
      <c r="J49" s="69"/>
      <c r="K49" s="287"/>
      <c r="L49" s="329"/>
    </row>
    <row r="50" spans="2:12" ht="15">
      <c r="B50" s="289"/>
      <c r="C50" s="69"/>
      <c r="D50" s="69"/>
      <c r="E50" s="69"/>
      <c r="F50" s="69"/>
      <c r="G50" s="76"/>
      <c r="H50" s="69"/>
      <c r="I50" s="69"/>
      <c r="J50" s="69"/>
      <c r="K50" s="287"/>
      <c r="L50" s="329"/>
    </row>
    <row r="51" spans="2:12" ht="15">
      <c r="B51" s="289"/>
      <c r="C51" s="69"/>
      <c r="D51" s="69"/>
      <c r="E51" s="69"/>
      <c r="F51" s="69"/>
      <c r="G51" s="76"/>
      <c r="H51" s="69"/>
      <c r="I51" s="69"/>
      <c r="J51" s="69"/>
      <c r="K51" s="287"/>
      <c r="L51" s="329"/>
    </row>
    <row r="52" spans="2:12" ht="15.75">
      <c r="B52" s="283" t="s">
        <v>121</v>
      </c>
      <c r="C52" s="92"/>
      <c r="D52" s="56" t="s">
        <v>35</v>
      </c>
      <c r="E52" s="64" t="s">
        <v>5</v>
      </c>
      <c r="F52" s="65" t="s">
        <v>36</v>
      </c>
      <c r="G52" s="72"/>
      <c r="H52" s="56" t="s">
        <v>35</v>
      </c>
      <c r="I52" s="64" t="s">
        <v>5</v>
      </c>
      <c r="J52" s="65" t="s">
        <v>36</v>
      </c>
      <c r="K52" s="287"/>
      <c r="L52" s="329"/>
    </row>
    <row r="53" spans="2:12" ht="15">
      <c r="B53" s="295" t="s">
        <v>122</v>
      </c>
      <c r="C53" s="296"/>
      <c r="D53" s="297">
        <v>1</v>
      </c>
      <c r="E53" s="298">
        <v>1500</v>
      </c>
      <c r="F53" s="298">
        <v>320</v>
      </c>
      <c r="G53" s="299"/>
      <c r="H53" s="297">
        <v>2</v>
      </c>
      <c r="I53" s="298">
        <v>-500</v>
      </c>
      <c r="J53" s="298">
        <v>50</v>
      </c>
      <c r="K53" s="300"/>
      <c r="L53" s="328"/>
    </row>
    <row r="54" spans="7:12" ht="15">
      <c r="G54" s="35"/>
      <c r="L54" s="319"/>
    </row>
    <row r="55" ht="15">
      <c r="G55" s="44"/>
    </row>
    <row r="56" ht="15">
      <c r="G56" s="44"/>
    </row>
    <row r="57" ht="15">
      <c r="G57" s="44"/>
    </row>
    <row r="58" ht="15">
      <c r="G58" s="44"/>
    </row>
  </sheetData>
  <sheetProtection sheet="1" selectLockedCells="1"/>
  <mergeCells count="1">
    <mergeCell ref="C23:I23"/>
  </mergeCells>
  <conditionalFormatting sqref="E48">
    <cfRule type="cellIs" priority="20" dxfId="0" operator="equal" stopIfTrue="1">
      <formula>0</formula>
    </cfRule>
  </conditionalFormatting>
  <conditionalFormatting sqref="L6:L10 L15 L17 L21">
    <cfRule type="cellIs" priority="19" dxfId="1" operator="equal" stopIfTrue="1">
      <formula>""</formula>
    </cfRule>
  </conditionalFormatting>
  <conditionalFormatting sqref="L24">
    <cfRule type="cellIs" priority="14" dxfId="1" operator="equal" stopIfTrue="1">
      <formula>""</formula>
    </cfRule>
  </conditionalFormatting>
  <conditionalFormatting sqref="L25">
    <cfRule type="cellIs" priority="13" dxfId="1" operator="equal" stopIfTrue="1">
      <formula>""</formula>
    </cfRule>
  </conditionalFormatting>
  <conditionalFormatting sqref="L26:L27">
    <cfRule type="cellIs" priority="10" dxfId="1" operator="equal" stopIfTrue="1">
      <formula>""</formula>
    </cfRule>
  </conditionalFormatting>
  <conditionalFormatting sqref="L16">
    <cfRule type="cellIs" priority="9" dxfId="1" operator="equal" stopIfTrue="1">
      <formula>""</formula>
    </cfRule>
  </conditionalFormatting>
  <conditionalFormatting sqref="L20">
    <cfRule type="cellIs" priority="5" dxfId="1" operator="equal" stopIfTrue="1">
      <formula>""</formula>
    </cfRule>
  </conditionalFormatting>
  <conditionalFormatting sqref="L18">
    <cfRule type="cellIs" priority="7" dxfId="1" operator="equal" stopIfTrue="1">
      <formula>""</formula>
    </cfRule>
  </conditionalFormatting>
  <conditionalFormatting sqref="L19">
    <cfRule type="cellIs" priority="6" dxfId="1" operator="equal" stopIfTrue="1">
      <formula>""</formula>
    </cfRule>
  </conditionalFormatting>
  <conditionalFormatting sqref="L22">
    <cfRule type="cellIs" priority="3" dxfId="1" operator="equal" stopIfTrue="1">
      <formula>""</formula>
    </cfRule>
  </conditionalFormatting>
  <conditionalFormatting sqref="L11">
    <cfRule type="cellIs" priority="2" dxfId="1" operator="equal" stopIfTrue="1">
      <formula>""</formula>
    </cfRule>
  </conditionalFormatting>
  <conditionalFormatting sqref="L12">
    <cfRule type="cellIs" priority="1" dxfId="1" operator="equal" stopIfTrue="1">
      <formula>""</formula>
    </cfRule>
  </conditionalFormatting>
  <printOptions horizontalCentered="1"/>
  <pageMargins left="0.6299212598425197" right="0.3937007874015748" top="0.4724409448818898" bottom="0.4724409448818898" header="0" footer="0"/>
  <pageSetup fitToHeight="1" fitToWidth="1" horizontalDpi="300" verticalDpi="300" orientation="portrait" paperSize="9" scale="84" r:id="rId3"/>
  <drawing r:id="rId2"/>
  <legacyDrawing r:id="rId1"/>
</worksheet>
</file>

<file path=xl/worksheets/sheet2.xml><?xml version="1.0" encoding="utf-8"?>
<worksheet xmlns="http://schemas.openxmlformats.org/spreadsheetml/2006/main" xmlns:r="http://schemas.openxmlformats.org/officeDocument/2006/relationships">
  <sheetPr codeName="Sheet7">
    <pageSetUpPr fitToPage="1"/>
  </sheetPr>
  <dimension ref="A1:BQ42"/>
  <sheetViews>
    <sheetView showGridLines="0" zoomScalePageLayoutView="0" workbookViewId="0" topLeftCell="W1">
      <selection activeCell="AA16" sqref="AA16"/>
    </sheetView>
  </sheetViews>
  <sheetFormatPr defaultColWidth="9.140625" defaultRowHeight="12.75"/>
  <cols>
    <col min="1" max="1" width="3.7109375" style="0" customWidth="1"/>
    <col min="2" max="2" width="21.7109375" style="150" customWidth="1"/>
    <col min="3" max="3" width="8.57421875" style="150" customWidth="1"/>
    <col min="4" max="4" width="19.421875" style="154" customWidth="1"/>
    <col min="5" max="5" width="17.28125" style="119" customWidth="1"/>
    <col min="6" max="6" width="7.8515625" style="2" customWidth="1"/>
    <col min="7" max="7" width="8.8515625" style="2" customWidth="1"/>
    <col min="8" max="8" width="15.7109375" style="2" customWidth="1"/>
    <col min="9" max="32" width="15.7109375" style="0" customWidth="1"/>
    <col min="33" max="33" width="15.7109375" style="1" customWidth="1"/>
    <col min="34" max="49" width="15.7109375" style="0" customWidth="1"/>
    <col min="50" max="50" width="15.7109375" style="184" customWidth="1"/>
    <col min="51" max="54" width="15.7109375" style="0" customWidth="1"/>
    <col min="55" max="55" width="15.7109375" style="175" customWidth="1"/>
    <col min="56" max="60" width="15.7109375" style="0" customWidth="1"/>
    <col min="61" max="61" width="7.8515625" style="0" customWidth="1"/>
    <col min="62" max="62" width="11.8515625" style="0" customWidth="1"/>
    <col min="63" max="63" width="12.140625" style="0" customWidth="1"/>
    <col min="64" max="64" width="12.7109375" style="0" customWidth="1"/>
    <col min="65" max="65" width="12.28125" style="0" customWidth="1"/>
    <col min="66" max="66" width="11.8515625" style="0" customWidth="1"/>
    <col min="69" max="69" width="11.421875" style="0" bestFit="1" customWidth="1"/>
  </cols>
  <sheetData>
    <row r="1" spans="2:55" ht="13.5" thickBot="1">
      <c r="B1"/>
      <c r="C1"/>
      <c r="D1"/>
      <c r="E1"/>
      <c r="F1"/>
      <c r="G1"/>
      <c r="H1"/>
      <c r="AG1"/>
      <c r="AX1"/>
      <c r="BC1"/>
    </row>
    <row r="2" spans="2:61" ht="23.25" thickTop="1">
      <c r="B2" s="192" t="str">
        <f>Kalkulator!B2</f>
        <v>Projekt</v>
      </c>
      <c r="C2" s="193"/>
      <c r="D2" s="194" t="str">
        <f>Kalkulator!C2</f>
        <v>Przykład testowy 1</v>
      </c>
      <c r="E2" s="195"/>
      <c r="F2" s="196"/>
      <c r="G2" s="197"/>
      <c r="H2" s="198"/>
      <c r="I2" s="199"/>
      <c r="J2" s="200"/>
      <c r="K2" s="341"/>
      <c r="L2" s="342"/>
      <c r="M2" s="342"/>
      <c r="N2" s="342"/>
      <c r="O2" s="199"/>
      <c r="P2" s="199"/>
      <c r="Q2" s="199"/>
      <c r="R2" s="201"/>
      <c r="S2" s="201"/>
      <c r="T2" s="201"/>
      <c r="U2" s="201"/>
      <c r="V2" s="201"/>
      <c r="W2" s="201"/>
      <c r="X2" s="201"/>
      <c r="Y2" s="201"/>
      <c r="Z2" s="201"/>
      <c r="AA2" s="201"/>
      <c r="AB2" s="201"/>
      <c r="AC2" s="201"/>
      <c r="AD2" s="201"/>
      <c r="AE2" s="201"/>
      <c r="AF2" s="201"/>
      <c r="AG2" s="202"/>
      <c r="AH2" s="203" t="str">
        <f>B2</f>
        <v>Projekt</v>
      </c>
      <c r="AI2" s="203" t="str">
        <f>D2</f>
        <v>Przykład testowy 1</v>
      </c>
      <c r="AJ2" s="201"/>
      <c r="AK2" s="201"/>
      <c r="AL2" s="201"/>
      <c r="AM2" s="201"/>
      <c r="AN2" s="201"/>
      <c r="AO2" s="201"/>
      <c r="AP2" s="201"/>
      <c r="AQ2" s="201"/>
      <c r="AR2" s="201"/>
      <c r="AS2" s="201"/>
      <c r="AT2" s="201"/>
      <c r="AU2" s="201"/>
      <c r="AV2" s="201"/>
      <c r="AW2" s="201"/>
      <c r="AX2" s="204"/>
      <c r="AY2" s="201"/>
      <c r="AZ2" s="201"/>
      <c r="BA2" s="201"/>
      <c r="BB2" s="201"/>
      <c r="BC2" s="205"/>
      <c r="BD2" s="201"/>
      <c r="BE2" s="201"/>
      <c r="BF2" s="201"/>
      <c r="BG2" s="206" t="s">
        <v>201</v>
      </c>
      <c r="BH2" s="201"/>
      <c r="BI2" s="207"/>
    </row>
    <row r="3" spans="2:61" ht="23.25">
      <c r="B3" s="208" t="str">
        <f>Kalkulator!B4</f>
        <v>Lokalizacja</v>
      </c>
      <c r="C3" s="153"/>
      <c r="D3" s="96" t="str">
        <f>Kalkulator!C4</f>
        <v>Przykład 1</v>
      </c>
      <c r="E3" s="155"/>
      <c r="F3" s="156"/>
      <c r="G3" s="93"/>
      <c r="H3" s="94"/>
      <c r="I3" s="98"/>
      <c r="J3" s="98"/>
      <c r="K3" s="98"/>
      <c r="L3" s="98"/>
      <c r="M3" s="98"/>
      <c r="N3" s="98"/>
      <c r="O3" s="98"/>
      <c r="P3" s="98"/>
      <c r="Q3" s="98"/>
      <c r="R3" s="98"/>
      <c r="S3" s="98"/>
      <c r="T3" s="98"/>
      <c r="U3" s="98"/>
      <c r="V3" s="98"/>
      <c r="W3" s="98"/>
      <c r="X3" s="98"/>
      <c r="Y3" s="98"/>
      <c r="Z3" s="98"/>
      <c r="AA3" s="95"/>
      <c r="AB3" s="95"/>
      <c r="AC3" s="97" t="str">
        <f>Kalkulator!I3&amp;"  "&amp;Kalkulator!I4&amp;"    "&amp;Kalkulator!K5&amp;"  "&amp;Kalkulator!K6</f>
        <v>Opracował  LCH    Zlecenie  ChP-1</v>
      </c>
      <c r="AD3" s="98"/>
      <c r="AE3" s="98"/>
      <c r="AF3" s="98"/>
      <c r="AG3" s="99"/>
      <c r="AH3" s="101" t="str">
        <f>B3</f>
        <v>Lokalizacja</v>
      </c>
      <c r="AI3" s="101" t="str">
        <f>D3</f>
        <v>Przykład 1</v>
      </c>
      <c r="AJ3" s="98"/>
      <c r="AK3" s="98"/>
      <c r="AL3" s="98"/>
      <c r="AM3" s="98"/>
      <c r="AN3" s="98"/>
      <c r="AO3" s="98"/>
      <c r="AP3" s="98"/>
      <c r="AQ3" s="98"/>
      <c r="AR3" s="98"/>
      <c r="AS3" s="98"/>
      <c r="AT3" s="98"/>
      <c r="AU3" s="98"/>
      <c r="AV3" s="98"/>
      <c r="AW3" s="98"/>
      <c r="AX3" s="183"/>
      <c r="AY3" s="98"/>
      <c r="AZ3" s="98"/>
      <c r="BA3" s="98"/>
      <c r="BB3" s="98"/>
      <c r="BC3" s="174"/>
      <c r="BD3" s="98"/>
      <c r="BE3" s="98"/>
      <c r="BF3" s="100" t="str">
        <f>AC3</f>
        <v>Opracował  LCH    Zlecenie  ChP-1</v>
      </c>
      <c r="BG3" s="98"/>
      <c r="BH3" s="98"/>
      <c r="BI3" s="209"/>
    </row>
    <row r="4" spans="2:61" ht="24" thickBot="1">
      <c r="B4" s="210"/>
      <c r="C4" s="211"/>
      <c r="D4" s="212" t="str">
        <f>Kalkulator!C5</f>
        <v>ZGINANIE Z SIŁĄ OSIOWĄ  wg PN-EN 1992 nieliniowy model</v>
      </c>
      <c r="E4" s="213"/>
      <c r="F4" s="214"/>
      <c r="G4" s="215"/>
      <c r="H4" s="216"/>
      <c r="I4" s="217"/>
      <c r="J4" s="336" t="s">
        <v>40</v>
      </c>
      <c r="K4" s="337"/>
      <c r="L4" s="337"/>
      <c r="M4" s="337"/>
      <c r="N4" s="218"/>
      <c r="O4" s="218"/>
      <c r="P4" s="218"/>
      <c r="Q4" s="218"/>
      <c r="R4" s="218"/>
      <c r="S4" s="218"/>
      <c r="T4" s="218"/>
      <c r="U4" s="218"/>
      <c r="V4" s="218"/>
      <c r="W4" s="218"/>
      <c r="X4" s="218"/>
      <c r="Y4" s="218"/>
      <c r="Z4" s="218"/>
      <c r="AA4" s="217"/>
      <c r="AB4" s="219" t="s">
        <v>18</v>
      </c>
      <c r="AC4" s="220">
        <f>Kalkulator!J4</f>
        <v>42953</v>
      </c>
      <c r="AD4" s="218"/>
      <c r="AE4" s="218"/>
      <c r="AF4" s="218"/>
      <c r="AG4" s="221"/>
      <c r="AH4" s="222"/>
      <c r="AI4" s="222" t="str">
        <f>D4</f>
        <v>ZGINANIE Z SIŁĄ OSIOWĄ  wg PN-EN 1992 nieliniowy model</v>
      </c>
      <c r="AJ4" s="218"/>
      <c r="AK4" s="218"/>
      <c r="AL4" s="218"/>
      <c r="AM4" s="218"/>
      <c r="AN4" s="218"/>
      <c r="AO4" s="218"/>
      <c r="AP4" s="218"/>
      <c r="AQ4" s="223"/>
      <c r="AR4" s="218"/>
      <c r="AS4" s="218"/>
      <c r="AT4" s="218"/>
      <c r="AU4" s="218"/>
      <c r="AV4" s="218"/>
      <c r="AW4" s="218"/>
      <c r="AX4" s="224"/>
      <c r="AY4" s="218"/>
      <c r="AZ4" s="218"/>
      <c r="BA4" s="218"/>
      <c r="BB4" s="218"/>
      <c r="BC4" s="225"/>
      <c r="BD4" s="218"/>
      <c r="BE4" s="226" t="str">
        <f>AB4</f>
        <v>Data</v>
      </c>
      <c r="BF4" s="227">
        <f>AC4</f>
        <v>42953</v>
      </c>
      <c r="BG4" s="218"/>
      <c r="BH4" s="217"/>
      <c r="BI4" s="228"/>
    </row>
    <row r="5" spans="2:64" ht="19.5" customHeight="1" thickTop="1">
      <c r="B5" s="338"/>
      <c r="C5" s="338"/>
      <c r="D5" s="339"/>
      <c r="F5"/>
      <c r="AA5" s="88"/>
      <c r="AG5"/>
      <c r="AL5" s="6"/>
      <c r="BJ5" s="7"/>
      <c r="BK5" s="6"/>
      <c r="BL5" s="3"/>
    </row>
    <row r="6" spans="2:64" ht="19.5" customHeight="1">
      <c r="B6" s="167" t="s">
        <v>91</v>
      </c>
      <c r="C6" s="166" t="s">
        <v>79</v>
      </c>
      <c r="D6" s="154" t="s">
        <v>83</v>
      </c>
      <c r="E6" s="12">
        <f>f_ck/g_c</f>
        <v>25</v>
      </c>
      <c r="F6" s="3" t="s">
        <v>0</v>
      </c>
      <c r="H6" s="188"/>
      <c r="I6" s="120" t="s">
        <v>58</v>
      </c>
      <c r="J6" s="7" t="s">
        <v>113</v>
      </c>
      <c r="K6" s="6">
        <f>h/2</f>
        <v>225</v>
      </c>
      <c r="L6" s="120" t="s">
        <v>59</v>
      </c>
      <c r="O6" t="s">
        <v>41</v>
      </c>
      <c r="R6" s="145" t="s">
        <v>138</v>
      </c>
      <c r="Y6" s="123" t="s">
        <v>214</v>
      </c>
      <c r="AA6" s="145" t="s">
        <v>215</v>
      </c>
      <c r="AB6" s="12">
        <f>0.3*f_ck^(2/3)</f>
        <v>3.209962441695237</v>
      </c>
      <c r="AC6" s="3" t="s">
        <v>0</v>
      </c>
      <c r="AE6" t="s">
        <v>217</v>
      </c>
      <c r="AG6" t="s">
        <v>218</v>
      </c>
      <c r="AK6" s="145" t="s">
        <v>246</v>
      </c>
      <c r="AM6" t="s">
        <v>218</v>
      </c>
      <c r="AW6" t="s">
        <v>42</v>
      </c>
      <c r="AX6"/>
      <c r="BC6"/>
      <c r="BK6" s="6"/>
      <c r="BL6" s="3"/>
    </row>
    <row r="7" spans="2:55" ht="19.5" customHeight="1">
      <c r="B7" s="167" t="s">
        <v>92</v>
      </c>
      <c r="C7" s="166" t="s">
        <v>80</v>
      </c>
      <c r="D7" s="154" t="s">
        <v>84</v>
      </c>
      <c r="E7" s="12">
        <f>f_yk/g_s</f>
        <v>434.7826086956522</v>
      </c>
      <c r="F7" s="3" t="s">
        <v>0</v>
      </c>
      <c r="I7" s="7" t="s">
        <v>64</v>
      </c>
      <c r="J7" s="14">
        <f>A_sc</f>
        <v>452.3893421169302</v>
      </c>
      <c r="K7" s="3" t="s">
        <v>6</v>
      </c>
      <c r="L7" s="4" t="s">
        <v>65</v>
      </c>
      <c r="M7" s="14">
        <f>A_st</f>
        <v>452.3893421169302</v>
      </c>
      <c r="N7" s="3" t="s">
        <v>6</v>
      </c>
      <c r="Y7" t="s">
        <v>219</v>
      </c>
      <c r="AA7" s="306" t="s">
        <v>220</v>
      </c>
      <c r="AB7" s="15">
        <f>IF(h&gt;1000,1000,h)</f>
        <v>450</v>
      </c>
      <c r="AC7" s="3" t="s">
        <v>2</v>
      </c>
      <c r="AE7" s="145" t="s">
        <v>227</v>
      </c>
      <c r="AG7" t="s">
        <v>216</v>
      </c>
      <c r="AI7" s="14">
        <f>MAX(0.26*f_ctm/f_yk,0.0013)*b*d_tl</f>
        <v>345.52035722407527</v>
      </c>
      <c r="AJ7" s="3" t="s">
        <v>6</v>
      </c>
      <c r="AK7" s="145" t="s">
        <v>247</v>
      </c>
      <c r="AM7" s="145" t="s">
        <v>248</v>
      </c>
      <c r="AO7" s="14">
        <f>0.04*b*h</f>
        <v>9000</v>
      </c>
      <c r="AP7" s="3" t="s">
        <v>6</v>
      </c>
      <c r="AX7"/>
      <c r="BC7"/>
    </row>
    <row r="8" spans="2:55" ht="19.5" customHeight="1">
      <c r="B8" s="167" t="s">
        <v>197</v>
      </c>
      <c r="C8" s="166" t="s">
        <v>198</v>
      </c>
      <c r="D8" s="157" t="s">
        <v>87</v>
      </c>
      <c r="E8" s="88">
        <v>0.002</v>
      </c>
      <c r="F8" s="2" t="s">
        <v>72</v>
      </c>
      <c r="I8" s="122" t="s">
        <v>49</v>
      </c>
      <c r="J8" s="6">
        <f>c_u+F_u/2</f>
        <v>36</v>
      </c>
      <c r="K8" s="119" t="s">
        <v>2</v>
      </c>
      <c r="L8" s="122" t="s">
        <v>51</v>
      </c>
      <c r="M8" s="6">
        <f>c_u+F_u/2</f>
        <v>36</v>
      </c>
      <c r="N8" s="119" t="s">
        <v>2</v>
      </c>
      <c r="O8" s="121" t="s">
        <v>114</v>
      </c>
      <c r="Q8" s="13">
        <f>(d_0-d_cu)/(d_tl-h/2)</f>
        <v>1</v>
      </c>
      <c r="R8" s="145" t="s">
        <v>139</v>
      </c>
      <c r="T8" s="145" t="s">
        <v>141</v>
      </c>
      <c r="U8" s="7"/>
      <c r="W8" s="12">
        <f>IF(klasa="A",0.05,IF(klasa="B",0.08,0.15))</f>
        <v>0.05</v>
      </c>
      <c r="X8" s="3" t="s">
        <v>72</v>
      </c>
      <c r="Y8" t="s">
        <v>221</v>
      </c>
      <c r="AB8" s="12">
        <f>1-(h*b)*(0.65-1)/(300^2-800^2)</f>
        <v>0.8568181818181818</v>
      </c>
      <c r="AC8" t="s">
        <v>72</v>
      </c>
      <c r="AE8" t="s">
        <v>224</v>
      </c>
      <c r="AM8" s="1"/>
      <c r="AW8" t="s">
        <v>43</v>
      </c>
      <c r="AX8"/>
      <c r="AY8" t="s">
        <v>44</v>
      </c>
      <c r="AZ8" s="7"/>
      <c r="BB8" s="14">
        <f>(A_sc*d_cu+A_st*d_tl)/(A_sc+A_st)</f>
        <v>225</v>
      </c>
      <c r="BC8" s="119" t="s">
        <v>2</v>
      </c>
    </row>
    <row r="9" spans="2:55" ht="19.5" customHeight="1">
      <c r="B9" s="167" t="s">
        <v>93</v>
      </c>
      <c r="C9" s="166" t="s">
        <v>81</v>
      </c>
      <c r="D9" s="154" t="s">
        <v>85</v>
      </c>
      <c r="E9" s="12">
        <f>f_yd-f_cd</f>
        <v>409.7826086956522</v>
      </c>
      <c r="F9" s="3" t="s">
        <v>0</v>
      </c>
      <c r="I9" s="122" t="s">
        <v>56</v>
      </c>
      <c r="J9" s="6">
        <f>a_cu</f>
        <v>36</v>
      </c>
      <c r="K9" s="119" t="s">
        <v>2</v>
      </c>
      <c r="L9" s="122" t="s">
        <v>52</v>
      </c>
      <c r="M9" s="6">
        <f>h-a_tu</f>
        <v>414</v>
      </c>
      <c r="N9" s="119" t="s">
        <v>2</v>
      </c>
      <c r="O9" s="121" t="s">
        <v>115</v>
      </c>
      <c r="Q9" s="13">
        <f>(d_0-d_cl)/(d_tu-d_0)</f>
        <v>1</v>
      </c>
      <c r="R9" s="145" t="s">
        <v>140</v>
      </c>
      <c r="T9" s="158" t="s">
        <v>144</v>
      </c>
      <c r="U9" s="7"/>
      <c r="W9" s="14">
        <v>20</v>
      </c>
      <c r="X9" s="3"/>
      <c r="Y9" t="s">
        <v>222</v>
      </c>
      <c r="AB9" s="148">
        <f>IF(N_Ed1&gt;0,1.5,2*AB7/(3*h))</f>
        <v>1.5</v>
      </c>
      <c r="AC9" t="s">
        <v>72</v>
      </c>
      <c r="AE9" t="s">
        <v>213</v>
      </c>
      <c r="AG9" t="s">
        <v>216</v>
      </c>
      <c r="AI9" s="14">
        <f>MAX(0.26*f_ctm/f_yk,0.0013)*b*d_tl</f>
        <v>345.52035722407527</v>
      </c>
      <c r="AJ9" s="3" t="s">
        <v>6</v>
      </c>
      <c r="AK9" t="s">
        <v>213</v>
      </c>
      <c r="AM9" s="145" t="s">
        <v>248</v>
      </c>
      <c r="AO9" s="14">
        <f>0.04*b*h</f>
        <v>9000</v>
      </c>
      <c r="AP9" s="3" t="s">
        <v>6</v>
      </c>
      <c r="AW9" t="s">
        <v>45</v>
      </c>
      <c r="AX9"/>
      <c r="AY9" s="145" t="s">
        <v>129</v>
      </c>
      <c r="AZ9" s="7"/>
      <c r="BB9" s="14">
        <f>d_tl/(1-f_yd/s_smax)</f>
        <v>1092.6885245901642</v>
      </c>
      <c r="BC9" s="3" t="s">
        <v>2</v>
      </c>
    </row>
    <row r="10" spans="2:55" ht="19.5" customHeight="1">
      <c r="B10" s="167" t="s">
        <v>126</v>
      </c>
      <c r="C10" s="166" t="s">
        <v>128</v>
      </c>
      <c r="D10" s="173" t="s">
        <v>127</v>
      </c>
      <c r="E10" s="12">
        <f>e_cu2*E_s</f>
        <v>700</v>
      </c>
      <c r="F10" s="3" t="s">
        <v>0</v>
      </c>
      <c r="I10" s="122" t="s">
        <v>50</v>
      </c>
      <c r="J10" s="6">
        <f>c_u+F_l/2</f>
        <v>36</v>
      </c>
      <c r="K10" s="119" t="s">
        <v>2</v>
      </c>
      <c r="L10" s="122" t="s">
        <v>53</v>
      </c>
      <c r="M10" s="6">
        <f>c_l+F_l/2</f>
        <v>36</v>
      </c>
      <c r="N10" s="119" t="s">
        <v>2</v>
      </c>
      <c r="O10" s="121" t="s">
        <v>116</v>
      </c>
      <c r="Q10" s="13">
        <f>(d_0-d_cu)/(d_tl-d_cu)</f>
        <v>0.5</v>
      </c>
      <c r="R10" s="145" t="s">
        <v>142</v>
      </c>
      <c r="T10" s="166" t="s">
        <v>143</v>
      </c>
      <c r="U10" s="145" t="s">
        <v>145</v>
      </c>
      <c r="W10" s="21">
        <f>f_yd/E_s</f>
        <v>0.002173913043478261</v>
      </c>
      <c r="X10" s="3" t="s">
        <v>72</v>
      </c>
      <c r="Y10" t="s">
        <v>223</v>
      </c>
      <c r="AB10" s="148">
        <f>IF(N_Ed2&gt;0,1.5,2*AB7/(3*h))</f>
        <v>0.6666666666666666</v>
      </c>
      <c r="AC10" t="s">
        <v>72</v>
      </c>
      <c r="AE10" t="s">
        <v>210</v>
      </c>
      <c r="AG10" s="347" t="s">
        <v>226</v>
      </c>
      <c r="AH10" s="348"/>
      <c r="AI10" s="14">
        <f>MAX(MAX(N_Ed1,N_Ed2)*0.1/f_yd,0.002*b*h)</f>
        <v>450</v>
      </c>
      <c r="AJ10" s="3" t="s">
        <v>6</v>
      </c>
      <c r="AK10" t="s">
        <v>210</v>
      </c>
      <c r="AM10" s="347" t="s">
        <v>249</v>
      </c>
      <c r="AN10" s="348"/>
      <c r="AO10" s="14">
        <f>0.04*b*h</f>
        <v>9000</v>
      </c>
      <c r="AP10" s="3" t="s">
        <v>6</v>
      </c>
      <c r="AW10" t="s">
        <v>46</v>
      </c>
      <c r="AX10"/>
      <c r="AY10" t="s">
        <v>47</v>
      </c>
      <c r="BB10" s="12">
        <f>-MIN(f_yd*A_sc/beta4,f_yd*A_st/beta3)/1000</f>
        <v>-393.38203662341755</v>
      </c>
      <c r="BC10" s="119" t="s">
        <v>2</v>
      </c>
    </row>
    <row r="11" spans="2:55" ht="19.5" customHeight="1">
      <c r="B11" s="167" t="s">
        <v>94</v>
      </c>
      <c r="C11" s="166" t="s">
        <v>88</v>
      </c>
      <c r="D11" s="157" t="s">
        <v>87</v>
      </c>
      <c r="E11" s="15">
        <v>200000</v>
      </c>
      <c r="F11" s="3" t="s">
        <v>0</v>
      </c>
      <c r="I11" s="122" t="s">
        <v>57</v>
      </c>
      <c r="J11" s="6">
        <f>a_cl</f>
        <v>36</v>
      </c>
      <c r="K11" s="119" t="s">
        <v>2</v>
      </c>
      <c r="L11" s="122" t="s">
        <v>54</v>
      </c>
      <c r="M11" s="6">
        <f>h-a_tl</f>
        <v>414</v>
      </c>
      <c r="N11" s="119" t="s">
        <v>2</v>
      </c>
      <c r="O11" s="4" t="s">
        <v>48</v>
      </c>
      <c r="P11" s="6"/>
      <c r="Q11" s="13">
        <f>1-Q10</f>
        <v>0.5</v>
      </c>
      <c r="R11" s="349" t="s">
        <v>134</v>
      </c>
      <c r="S11" s="349"/>
      <c r="T11" s="166" t="s">
        <v>135</v>
      </c>
      <c r="U11" s="238" t="s">
        <v>136</v>
      </c>
      <c r="W11" s="88">
        <f>IF(klasa="A",2.5,IF(klasa="B",5,7.5)/g_s)/100</f>
        <v>0.025</v>
      </c>
      <c r="X11" s="2" t="s">
        <v>72</v>
      </c>
      <c r="Y11" s="145" t="s">
        <v>251</v>
      </c>
      <c r="AA11" s="145" t="s">
        <v>252</v>
      </c>
      <c r="AB11" s="15">
        <f>MIN(Kalkulator!G19-F_u,Kalkulator!G20-F_l)</f>
        <v>118.66666666666666</v>
      </c>
      <c r="AC11" s="3" t="s">
        <v>2</v>
      </c>
      <c r="AE11" s="119" t="s">
        <v>212</v>
      </c>
      <c r="AG11" t="s">
        <v>225</v>
      </c>
      <c r="AI11" s="14">
        <f>0.002*b*h/2</f>
        <v>225</v>
      </c>
      <c r="AJ11" s="3" t="s">
        <v>6</v>
      </c>
      <c r="AK11" s="119" t="s">
        <v>212</v>
      </c>
      <c r="AM11" s="145" t="s">
        <v>250</v>
      </c>
      <c r="AO11" s="14">
        <f>0.004*b*h</f>
        <v>900</v>
      </c>
      <c r="AP11" s="3" t="s">
        <v>6</v>
      </c>
      <c r="AW11" s="120" t="s">
        <v>60</v>
      </c>
      <c r="AX11" s="340" t="s">
        <v>90</v>
      </c>
      <c r="AY11" s="340"/>
      <c r="AZ11" s="340"/>
      <c r="BA11" s="340"/>
      <c r="BB11" s="12">
        <f>MIN(s_smax*d_tl/(s_smax-f_ynet),-s_smax*d_tl/(beta1*f_ynet*A_sc/A_st+f_cd-s_smax))</f>
        <v>998.5617977528091</v>
      </c>
      <c r="BC11" s="119" t="s">
        <v>2</v>
      </c>
    </row>
    <row r="12" spans="2:33" ht="19.5" customHeight="1">
      <c r="B12" s="167" t="s">
        <v>95</v>
      </c>
      <c r="C12" s="166" t="s">
        <v>89</v>
      </c>
      <c r="D12" s="157" t="s">
        <v>87</v>
      </c>
      <c r="E12" s="88">
        <v>0.0035</v>
      </c>
      <c r="F12" s="2" t="s">
        <v>72</v>
      </c>
      <c r="K12" s="167" t="s">
        <v>96</v>
      </c>
      <c r="L12" s="166" t="s">
        <v>82</v>
      </c>
      <c r="M12" s="154" t="s">
        <v>86</v>
      </c>
      <c r="N12" s="15">
        <f>b*h*f_cd</f>
        <v>5625000</v>
      </c>
      <c r="O12" s="3" t="s">
        <v>5</v>
      </c>
      <c r="P12" s="6"/>
      <c r="Q12" s="13"/>
      <c r="S12" s="120"/>
      <c r="T12" s="236"/>
      <c r="U12" s="236"/>
      <c r="V12" s="236"/>
      <c r="W12" s="236"/>
      <c r="X12" s="12"/>
      <c r="AG12" s="5"/>
    </row>
    <row r="13" spans="8:60" ht="19.5" customHeight="1" thickBot="1">
      <c r="H13" s="8"/>
      <c r="I13" s="256" t="s">
        <v>63</v>
      </c>
      <c r="J13" s="251"/>
      <c r="K13" s="98"/>
      <c r="L13" s="98"/>
      <c r="M13" s="252" t="s">
        <v>130</v>
      </c>
      <c r="N13" s="237">
        <v>41</v>
      </c>
      <c r="O13" s="253" t="s">
        <v>131</v>
      </c>
      <c r="P13" s="254">
        <f>(x_end-x_start)/N</f>
        <v>7.5731707073170735</v>
      </c>
      <c r="Q13" s="251"/>
      <c r="R13" s="98"/>
      <c r="S13" s="98"/>
      <c r="T13" s="98"/>
      <c r="U13" s="98"/>
      <c r="V13" s="98"/>
      <c r="W13" s="98"/>
      <c r="X13" s="98"/>
      <c r="Y13" s="98"/>
      <c r="Z13" s="98"/>
      <c r="AA13" s="98"/>
      <c r="AB13" s="98"/>
      <c r="AC13" s="98"/>
      <c r="AD13" s="98"/>
      <c r="AE13" s="98"/>
      <c r="AF13" s="98"/>
      <c r="AG13" s="255"/>
      <c r="AH13" s="251"/>
      <c r="AI13" s="98"/>
      <c r="AJ13" s="98"/>
      <c r="AK13" s="98"/>
      <c r="AL13" s="98"/>
      <c r="AM13" s="98"/>
      <c r="AN13" s="98"/>
      <c r="AO13" s="98"/>
      <c r="AP13" s="98"/>
      <c r="AQ13" s="98"/>
      <c r="AR13" s="98"/>
      <c r="AS13" s="98"/>
      <c r="AT13" s="98"/>
      <c r="AU13" s="98"/>
      <c r="AV13" s="98"/>
      <c r="AW13" s="98"/>
      <c r="AX13" s="256" t="s">
        <v>199</v>
      </c>
      <c r="AY13" s="158" t="s">
        <v>61</v>
      </c>
      <c r="AZ13" s="123">
        <v>10</v>
      </c>
      <c r="BA13" s="16" t="s">
        <v>62</v>
      </c>
      <c r="BB13" s="16">
        <f>(x_Nmax-x_end)/N_2</f>
        <v>78.21885245901642</v>
      </c>
      <c r="BG13" s="17"/>
      <c r="BH13" s="246" t="s">
        <v>9</v>
      </c>
    </row>
    <row r="14" spans="2:69" ht="19.5" customHeight="1" thickTop="1">
      <c r="B14" s="167" t="s">
        <v>78</v>
      </c>
      <c r="C14" s="262" t="s">
        <v>112</v>
      </c>
      <c r="D14" s="257"/>
      <c r="E14" s="258"/>
      <c r="F14" s="258" t="s">
        <v>2</v>
      </c>
      <c r="G14" s="259"/>
      <c r="H14" s="171">
        <v>-10</v>
      </c>
      <c r="I14" s="260">
        <v>1E-06</v>
      </c>
      <c r="J14" s="171">
        <f aca="true" t="shared" si="0" ref="J14:AW14">I14+Dx_1</f>
        <v>7.573171707317074</v>
      </c>
      <c r="K14" s="171">
        <f t="shared" si="0"/>
        <v>15.146342414634148</v>
      </c>
      <c r="L14" s="171">
        <f t="shared" si="0"/>
        <v>22.719513121951223</v>
      </c>
      <c r="M14" s="171">
        <f t="shared" si="0"/>
        <v>30.2926838292683</v>
      </c>
      <c r="N14" s="171">
        <f t="shared" si="0"/>
        <v>37.865854536585374</v>
      </c>
      <c r="O14" s="171">
        <f t="shared" si="0"/>
        <v>45.43902524390245</v>
      </c>
      <c r="P14" s="171">
        <f t="shared" si="0"/>
        <v>53.012195951219525</v>
      </c>
      <c r="Q14" s="171">
        <f t="shared" si="0"/>
        <v>60.5853666585366</v>
      </c>
      <c r="R14" s="171">
        <f t="shared" si="0"/>
        <v>68.15853736585368</v>
      </c>
      <c r="S14" s="171">
        <f t="shared" si="0"/>
        <v>75.73170807317075</v>
      </c>
      <c r="T14" s="171">
        <f t="shared" si="0"/>
        <v>83.30487878048783</v>
      </c>
      <c r="U14" s="171">
        <f t="shared" si="0"/>
        <v>90.8780494878049</v>
      </c>
      <c r="V14" s="171">
        <f t="shared" si="0"/>
        <v>98.45122019512198</v>
      </c>
      <c r="W14" s="171">
        <f t="shared" si="0"/>
        <v>106.02439090243905</v>
      </c>
      <c r="X14" s="171">
        <f t="shared" si="0"/>
        <v>113.59756160975613</v>
      </c>
      <c r="Y14" s="171">
        <f t="shared" si="0"/>
        <v>121.1707323170732</v>
      </c>
      <c r="Z14" s="171">
        <f t="shared" si="0"/>
        <v>128.74390302439028</v>
      </c>
      <c r="AA14" s="171">
        <f t="shared" si="0"/>
        <v>136.31707373170735</v>
      </c>
      <c r="AB14" s="171">
        <f t="shared" si="0"/>
        <v>143.89024443902443</v>
      </c>
      <c r="AC14" s="171">
        <f t="shared" si="0"/>
        <v>151.4634151463415</v>
      </c>
      <c r="AD14" s="171">
        <f t="shared" si="0"/>
        <v>159.03658585365858</v>
      </c>
      <c r="AE14" s="171">
        <f t="shared" si="0"/>
        <v>166.60975656097565</v>
      </c>
      <c r="AF14" s="171">
        <f t="shared" si="0"/>
        <v>174.18292726829273</v>
      </c>
      <c r="AG14" s="171">
        <f t="shared" si="0"/>
        <v>181.7560979756098</v>
      </c>
      <c r="AH14" s="171">
        <f t="shared" si="0"/>
        <v>189.32926868292688</v>
      </c>
      <c r="AI14" s="171">
        <f t="shared" si="0"/>
        <v>196.90243939024396</v>
      </c>
      <c r="AJ14" s="171">
        <f t="shared" si="0"/>
        <v>204.47561009756103</v>
      </c>
      <c r="AK14" s="171">
        <f t="shared" si="0"/>
        <v>212.0487808048781</v>
      </c>
      <c r="AL14" s="171">
        <f t="shared" si="0"/>
        <v>219.62195151219518</v>
      </c>
      <c r="AM14" s="171">
        <f t="shared" si="0"/>
        <v>227.19512221951226</v>
      </c>
      <c r="AN14" s="171">
        <f t="shared" si="0"/>
        <v>234.76829292682933</v>
      </c>
      <c r="AO14" s="171">
        <f t="shared" si="0"/>
        <v>242.3414636341464</v>
      </c>
      <c r="AP14" s="171">
        <f t="shared" si="0"/>
        <v>249.91463434146348</v>
      </c>
      <c r="AQ14" s="171">
        <f t="shared" si="0"/>
        <v>257.48780504878056</v>
      </c>
      <c r="AR14" s="171">
        <f t="shared" si="0"/>
        <v>265.0609757560976</v>
      </c>
      <c r="AS14" s="171">
        <f t="shared" si="0"/>
        <v>272.63414646341465</v>
      </c>
      <c r="AT14" s="171">
        <f t="shared" si="0"/>
        <v>280.2073171707317</v>
      </c>
      <c r="AU14" s="171">
        <f t="shared" si="0"/>
        <v>287.78048787804875</v>
      </c>
      <c r="AV14" s="171">
        <f t="shared" si="0"/>
        <v>295.3536585853658</v>
      </c>
      <c r="AW14" s="171">
        <f t="shared" si="0"/>
        <v>302.92682929268284</v>
      </c>
      <c r="AX14" s="244">
        <f>0.75*d_tl</f>
        <v>310.5</v>
      </c>
      <c r="AY14" s="171">
        <f aca="true" t="shared" si="1" ref="AY14:BG14">AX14+Dx_2</f>
        <v>388.71885245901643</v>
      </c>
      <c r="AZ14" s="171">
        <f t="shared" si="1"/>
        <v>466.93770491803286</v>
      </c>
      <c r="BA14" s="171">
        <f t="shared" si="1"/>
        <v>545.1565573770492</v>
      </c>
      <c r="BB14" s="171">
        <f t="shared" si="1"/>
        <v>623.3754098360656</v>
      </c>
      <c r="BC14" s="177">
        <f t="shared" si="1"/>
        <v>701.594262295082</v>
      </c>
      <c r="BD14" s="171">
        <f t="shared" si="1"/>
        <v>779.8131147540984</v>
      </c>
      <c r="BE14" s="171">
        <f t="shared" si="1"/>
        <v>858.0319672131147</v>
      </c>
      <c r="BF14" s="171">
        <f t="shared" si="1"/>
        <v>936.2508196721311</v>
      </c>
      <c r="BG14" s="171">
        <f t="shared" si="1"/>
        <v>1014.4696721311475</v>
      </c>
      <c r="BH14" s="261">
        <f>x_C</f>
        <v>1092.6885245901642</v>
      </c>
      <c r="BI14" s="262" t="s">
        <v>112</v>
      </c>
      <c r="BK14" s="12"/>
      <c r="BL14" s="12"/>
      <c r="BM14" s="12"/>
      <c r="BN14" s="12"/>
      <c r="BO14" s="12"/>
      <c r="BQ14" s="19"/>
    </row>
    <row r="15" spans="2:69" ht="19.5" customHeight="1">
      <c r="B15" s="167" t="s">
        <v>97</v>
      </c>
      <c r="C15" s="263" t="s">
        <v>166</v>
      </c>
      <c r="D15" s="230" t="s">
        <v>149</v>
      </c>
      <c r="E15" s="155"/>
      <c r="F15" s="155" t="s">
        <v>72</v>
      </c>
      <c r="G15" s="156"/>
      <c r="H15" s="159">
        <f aca="true" t="shared" si="2" ref="H15:AM15">H14/h</f>
        <v>-0.022222222222222223</v>
      </c>
      <c r="I15" s="179">
        <f t="shared" si="2"/>
        <v>2.222222222222222E-09</v>
      </c>
      <c r="J15" s="160">
        <f t="shared" si="2"/>
        <v>0.016829270460704607</v>
      </c>
      <c r="K15" s="160">
        <f t="shared" si="2"/>
        <v>0.033658538699186995</v>
      </c>
      <c r="L15" s="160">
        <f t="shared" si="2"/>
        <v>0.05048780693766938</v>
      </c>
      <c r="M15" s="160">
        <f t="shared" si="2"/>
        <v>0.06731707517615178</v>
      </c>
      <c r="N15" s="160">
        <f t="shared" si="2"/>
        <v>0.08414634341463416</v>
      </c>
      <c r="O15" s="160">
        <f t="shared" si="2"/>
        <v>0.10097561165311655</v>
      </c>
      <c r="P15" s="160">
        <f>P14/h</f>
        <v>0.11780487989159895</v>
      </c>
      <c r="Q15" s="160">
        <f t="shared" si="2"/>
        <v>0.13463414813008134</v>
      </c>
      <c r="R15" s="160">
        <f t="shared" si="2"/>
        <v>0.15146341636856372</v>
      </c>
      <c r="S15" s="160">
        <f t="shared" si="2"/>
        <v>0.1682926846070461</v>
      </c>
      <c r="T15" s="160">
        <f t="shared" si="2"/>
        <v>0.18512195284552851</v>
      </c>
      <c r="U15" s="160">
        <f t="shared" si="2"/>
        <v>0.2019512210840109</v>
      </c>
      <c r="V15" s="160">
        <f t="shared" si="2"/>
        <v>0.21878048932249328</v>
      </c>
      <c r="W15" s="160">
        <f t="shared" si="2"/>
        <v>0.23560975756097566</v>
      </c>
      <c r="X15" s="160">
        <f t="shared" si="2"/>
        <v>0.25243902579945804</v>
      </c>
      <c r="Y15" s="160">
        <f t="shared" si="2"/>
        <v>0.26926829403794045</v>
      </c>
      <c r="Z15" s="160">
        <f t="shared" si="2"/>
        <v>0.28609756227642286</v>
      </c>
      <c r="AA15" s="160">
        <f t="shared" si="2"/>
        <v>0.3029268305149052</v>
      </c>
      <c r="AB15" s="160">
        <f t="shared" si="2"/>
        <v>0.3197560987533876</v>
      </c>
      <c r="AC15" s="160">
        <f t="shared" si="2"/>
        <v>0.33658536699187</v>
      </c>
      <c r="AD15" s="160">
        <f t="shared" si="2"/>
        <v>0.3534146352303524</v>
      </c>
      <c r="AE15" s="160">
        <f t="shared" si="2"/>
        <v>0.3702439034688348</v>
      </c>
      <c r="AF15" s="160">
        <f t="shared" si="2"/>
        <v>0.3870731717073172</v>
      </c>
      <c r="AG15" s="160">
        <f t="shared" si="2"/>
        <v>0.40390243994579955</v>
      </c>
      <c r="AH15" s="160">
        <f t="shared" si="2"/>
        <v>0.42073170818428196</v>
      </c>
      <c r="AI15" s="160">
        <f t="shared" si="2"/>
        <v>0.43756097642276437</v>
      </c>
      <c r="AJ15" s="160">
        <f t="shared" si="2"/>
        <v>0.4543902446612467</v>
      </c>
      <c r="AK15" s="160">
        <f t="shared" si="2"/>
        <v>0.47121951289972913</v>
      </c>
      <c r="AL15" s="160">
        <f t="shared" si="2"/>
        <v>0.48804878113821154</v>
      </c>
      <c r="AM15" s="160">
        <f t="shared" si="2"/>
        <v>0.5048780493766939</v>
      </c>
      <c r="AN15" s="160">
        <f aca="true" t="shared" si="3" ref="AN15:BH15">AN14/h</f>
        <v>0.5217073176151763</v>
      </c>
      <c r="AO15" s="160">
        <f t="shared" si="3"/>
        <v>0.5385365858536587</v>
      </c>
      <c r="AP15" s="160">
        <f t="shared" si="3"/>
        <v>0.5553658540921411</v>
      </c>
      <c r="AQ15" s="160">
        <f t="shared" si="3"/>
        <v>0.5721951223306234</v>
      </c>
      <c r="AR15" s="160">
        <f t="shared" si="3"/>
        <v>0.5890243905691058</v>
      </c>
      <c r="AS15" s="160">
        <f t="shared" si="3"/>
        <v>0.6058536588075881</v>
      </c>
      <c r="AT15" s="160">
        <f t="shared" si="3"/>
        <v>0.6226829270460704</v>
      </c>
      <c r="AU15" s="160">
        <f t="shared" si="3"/>
        <v>0.6395121952845527</v>
      </c>
      <c r="AV15" s="160">
        <f t="shared" si="3"/>
        <v>0.6563414635230351</v>
      </c>
      <c r="AW15" s="160">
        <f t="shared" si="3"/>
        <v>0.6731707317615174</v>
      </c>
      <c r="AX15" s="241">
        <f t="shared" si="3"/>
        <v>0.69</v>
      </c>
      <c r="AY15" s="160">
        <f t="shared" si="3"/>
        <v>0.8638196721311476</v>
      </c>
      <c r="AZ15" s="160">
        <f t="shared" si="3"/>
        <v>1.0376393442622953</v>
      </c>
      <c r="BA15" s="160">
        <f t="shared" si="3"/>
        <v>1.2114590163934427</v>
      </c>
      <c r="BB15" s="160">
        <f t="shared" si="3"/>
        <v>1.3852786885245902</v>
      </c>
      <c r="BC15" s="176">
        <f t="shared" si="3"/>
        <v>1.5590983606557378</v>
      </c>
      <c r="BD15" s="160">
        <f t="shared" si="3"/>
        <v>1.7329180327868852</v>
      </c>
      <c r="BE15" s="160">
        <f t="shared" si="3"/>
        <v>1.9067377049180327</v>
      </c>
      <c r="BF15" s="160">
        <f t="shared" si="3"/>
        <v>2.08055737704918</v>
      </c>
      <c r="BG15" s="160">
        <f t="shared" si="3"/>
        <v>2.2543770491803277</v>
      </c>
      <c r="BH15" s="247">
        <f t="shared" si="3"/>
        <v>2.428196721311476</v>
      </c>
      <c r="BI15" s="263" t="s">
        <v>166</v>
      </c>
      <c r="BK15" s="12"/>
      <c r="BL15" s="12"/>
      <c r="BM15" s="12"/>
      <c r="BN15" s="12"/>
      <c r="BO15" s="12"/>
      <c r="BQ15" s="19"/>
    </row>
    <row r="16" spans="2:69" ht="19.5" customHeight="1">
      <c r="B16" s="167" t="s">
        <v>98</v>
      </c>
      <c r="C16" s="264" t="s">
        <v>167</v>
      </c>
      <c r="D16" s="168" t="s">
        <v>150</v>
      </c>
      <c r="E16" s="155"/>
      <c r="F16" s="161" t="s">
        <v>5</v>
      </c>
      <c r="G16" s="156"/>
      <c r="H16" s="162"/>
      <c r="I16" s="180">
        <f aca="true" t="shared" si="4" ref="I16:AN16">17/21*I15*F_cA</f>
        <v>0.01011904761904762</v>
      </c>
      <c r="J16" s="162">
        <f t="shared" si="4"/>
        <v>76633.28513356562</v>
      </c>
      <c r="K16" s="162">
        <f t="shared" si="4"/>
        <v>153266.56014808363</v>
      </c>
      <c r="L16" s="162">
        <f t="shared" si="4"/>
        <v>229899.83516260164</v>
      </c>
      <c r="M16" s="162">
        <f t="shared" si="4"/>
        <v>306533.1101771197</v>
      </c>
      <c r="N16" s="162">
        <f t="shared" si="4"/>
        <v>383166.3851916377</v>
      </c>
      <c r="O16" s="162">
        <f t="shared" si="4"/>
        <v>459799.66020615574</v>
      </c>
      <c r="P16" s="162">
        <f>17/21*P15*F_cA</f>
        <v>536432.9352206738</v>
      </c>
      <c r="Q16" s="162">
        <f t="shared" si="4"/>
        <v>613066.2102351919</v>
      </c>
      <c r="R16" s="162">
        <f t="shared" si="4"/>
        <v>689699.4852497098</v>
      </c>
      <c r="S16" s="162">
        <f t="shared" si="4"/>
        <v>766332.7602642277</v>
      </c>
      <c r="T16" s="162">
        <f t="shared" si="4"/>
        <v>842966.0352787459</v>
      </c>
      <c r="U16" s="162">
        <f t="shared" si="4"/>
        <v>919599.310293264</v>
      </c>
      <c r="V16" s="162">
        <f t="shared" si="4"/>
        <v>996232.5853077818</v>
      </c>
      <c r="W16" s="162">
        <f t="shared" si="4"/>
        <v>1072865.8603222999</v>
      </c>
      <c r="X16" s="162">
        <f t="shared" si="4"/>
        <v>1149499.135336818</v>
      </c>
      <c r="Y16" s="162">
        <f t="shared" si="4"/>
        <v>1226132.410351336</v>
      </c>
      <c r="Z16" s="162">
        <f t="shared" si="4"/>
        <v>1302765.685365854</v>
      </c>
      <c r="AA16" s="162">
        <f t="shared" si="4"/>
        <v>1379398.9603803721</v>
      </c>
      <c r="AB16" s="162">
        <f t="shared" si="4"/>
        <v>1456032.2353948902</v>
      </c>
      <c r="AC16" s="162">
        <f t="shared" si="4"/>
        <v>1532665.510409408</v>
      </c>
      <c r="AD16" s="162">
        <f t="shared" si="4"/>
        <v>1609298.7854239258</v>
      </c>
      <c r="AE16" s="162">
        <f t="shared" si="4"/>
        <v>1685932.0604384441</v>
      </c>
      <c r="AF16" s="162">
        <f t="shared" si="4"/>
        <v>1762565.3354529622</v>
      </c>
      <c r="AG16" s="162">
        <f t="shared" si="4"/>
        <v>1839198.6104674803</v>
      </c>
      <c r="AH16" s="162">
        <f t="shared" si="4"/>
        <v>1915831.8854819983</v>
      </c>
      <c r="AI16" s="162">
        <f t="shared" si="4"/>
        <v>1992465.1604965162</v>
      </c>
      <c r="AJ16" s="162">
        <f t="shared" si="4"/>
        <v>2069098.4355110342</v>
      </c>
      <c r="AK16" s="162">
        <f t="shared" si="4"/>
        <v>2145731.7105255523</v>
      </c>
      <c r="AL16" s="162">
        <f t="shared" si="4"/>
        <v>2222364.9855400706</v>
      </c>
      <c r="AM16" s="162">
        <f t="shared" si="4"/>
        <v>2298998.2605545884</v>
      </c>
      <c r="AN16" s="162">
        <f t="shared" si="4"/>
        <v>2375631.5355691067</v>
      </c>
      <c r="AO16" s="162">
        <f aca="true" t="shared" si="5" ref="AO16:BH16">17/21*AO15*F_cA</f>
        <v>2452264.8105836245</v>
      </c>
      <c r="AP16" s="162">
        <f t="shared" si="5"/>
        <v>2528898.085598143</v>
      </c>
      <c r="AQ16" s="162">
        <f t="shared" si="5"/>
        <v>2605531.36061266</v>
      </c>
      <c r="AR16" s="162">
        <f t="shared" si="5"/>
        <v>2682164.6356271785</v>
      </c>
      <c r="AS16" s="162">
        <f t="shared" si="5"/>
        <v>2758797.910641696</v>
      </c>
      <c r="AT16" s="162">
        <f t="shared" si="5"/>
        <v>2835431.1856562137</v>
      </c>
      <c r="AU16" s="162">
        <f t="shared" si="5"/>
        <v>2912064.460670731</v>
      </c>
      <c r="AV16" s="162">
        <f t="shared" si="5"/>
        <v>2988697.7356852493</v>
      </c>
      <c r="AW16" s="162">
        <f t="shared" si="5"/>
        <v>3065331.0106997667</v>
      </c>
      <c r="AX16" s="242">
        <f t="shared" si="5"/>
        <v>3141964.2857142854</v>
      </c>
      <c r="AY16" s="162">
        <f t="shared" si="5"/>
        <v>3933464.5784543334</v>
      </c>
      <c r="AZ16" s="162">
        <f t="shared" si="5"/>
        <v>4724964.87119438</v>
      </c>
      <c r="BA16" s="162">
        <f t="shared" si="5"/>
        <v>5516465.163934426</v>
      </c>
      <c r="BB16" s="162">
        <f t="shared" si="5"/>
        <v>6307965.456674473</v>
      </c>
      <c r="BC16" s="163">
        <f t="shared" si="5"/>
        <v>7099465.749414521</v>
      </c>
      <c r="BD16" s="162">
        <f t="shared" si="5"/>
        <v>7890966.042154566</v>
      </c>
      <c r="BE16" s="162">
        <f t="shared" si="5"/>
        <v>8682466.334894612</v>
      </c>
      <c r="BF16" s="162">
        <f t="shared" si="5"/>
        <v>9473966.62763466</v>
      </c>
      <c r="BG16" s="162">
        <f t="shared" si="5"/>
        <v>10265466.920374706</v>
      </c>
      <c r="BH16" s="248">
        <f t="shared" si="5"/>
        <v>11056967.213114757</v>
      </c>
      <c r="BI16" s="264" t="s">
        <v>167</v>
      </c>
      <c r="BK16" s="15"/>
      <c r="BL16" s="15"/>
      <c r="BM16" s="15"/>
      <c r="BN16" s="15"/>
      <c r="BO16" s="15"/>
      <c r="BQ16" s="20"/>
    </row>
    <row r="17" spans="2:69" ht="19.5" customHeight="1">
      <c r="B17" s="167" t="s">
        <v>111</v>
      </c>
      <c r="C17" s="264" t="s">
        <v>118</v>
      </c>
      <c r="D17" s="168" t="s">
        <v>152</v>
      </c>
      <c r="E17" s="155"/>
      <c r="F17" s="161"/>
      <c r="G17" s="156"/>
      <c r="H17" s="162">
        <f aca="true" t="shared" si="6" ref="H17:AM17">IF(H15&gt;1,7/192*(1/H15-1)^2,0)*F_cA</f>
        <v>0</v>
      </c>
      <c r="I17" s="181">
        <f t="shared" si="6"/>
        <v>0</v>
      </c>
      <c r="J17" s="162">
        <f t="shared" si="6"/>
        <v>0</v>
      </c>
      <c r="K17" s="162">
        <f t="shared" si="6"/>
        <v>0</v>
      </c>
      <c r="L17" s="162">
        <f t="shared" si="6"/>
        <v>0</v>
      </c>
      <c r="M17" s="162">
        <f t="shared" si="6"/>
        <v>0</v>
      </c>
      <c r="N17" s="162">
        <f t="shared" si="6"/>
        <v>0</v>
      </c>
      <c r="O17" s="162">
        <f t="shared" si="6"/>
        <v>0</v>
      </c>
      <c r="P17" s="162">
        <f t="shared" si="6"/>
        <v>0</v>
      </c>
      <c r="Q17" s="162">
        <f t="shared" si="6"/>
        <v>0</v>
      </c>
      <c r="R17" s="162">
        <f t="shared" si="6"/>
        <v>0</v>
      </c>
      <c r="S17" s="162">
        <f t="shared" si="6"/>
        <v>0</v>
      </c>
      <c r="T17" s="162">
        <f t="shared" si="6"/>
        <v>0</v>
      </c>
      <c r="U17" s="162">
        <f t="shared" si="6"/>
        <v>0</v>
      </c>
      <c r="V17" s="162">
        <f t="shared" si="6"/>
        <v>0</v>
      </c>
      <c r="W17" s="162">
        <f t="shared" si="6"/>
        <v>0</v>
      </c>
      <c r="X17" s="162">
        <f t="shared" si="6"/>
        <v>0</v>
      </c>
      <c r="Y17" s="162">
        <f t="shared" si="6"/>
        <v>0</v>
      </c>
      <c r="Z17" s="162">
        <f t="shared" si="6"/>
        <v>0</v>
      </c>
      <c r="AA17" s="162">
        <f t="shared" si="6"/>
        <v>0</v>
      </c>
      <c r="AB17" s="162">
        <f t="shared" si="6"/>
        <v>0</v>
      </c>
      <c r="AC17" s="162">
        <f t="shared" si="6"/>
        <v>0</v>
      </c>
      <c r="AD17" s="162">
        <f t="shared" si="6"/>
        <v>0</v>
      </c>
      <c r="AE17" s="162">
        <f t="shared" si="6"/>
        <v>0</v>
      </c>
      <c r="AF17" s="162">
        <f t="shared" si="6"/>
        <v>0</v>
      </c>
      <c r="AG17" s="162">
        <f t="shared" si="6"/>
        <v>0</v>
      </c>
      <c r="AH17" s="162">
        <f t="shared" si="6"/>
        <v>0</v>
      </c>
      <c r="AI17" s="162">
        <f t="shared" si="6"/>
        <v>0</v>
      </c>
      <c r="AJ17" s="162">
        <f t="shared" si="6"/>
        <v>0</v>
      </c>
      <c r="AK17" s="162">
        <f t="shared" si="6"/>
        <v>0</v>
      </c>
      <c r="AL17" s="162">
        <f t="shared" si="6"/>
        <v>0</v>
      </c>
      <c r="AM17" s="162">
        <f t="shared" si="6"/>
        <v>0</v>
      </c>
      <c r="AN17" s="162">
        <f aca="true" t="shared" si="7" ref="AN17:BH17">IF(AN15&gt;1,7/192*(1/AN15-1)^2,0)*F_cA</f>
        <v>0</v>
      </c>
      <c r="AO17" s="162">
        <f t="shared" si="7"/>
        <v>0</v>
      </c>
      <c r="AP17" s="162">
        <f t="shared" si="7"/>
        <v>0</v>
      </c>
      <c r="AQ17" s="162">
        <f t="shared" si="7"/>
        <v>0</v>
      </c>
      <c r="AR17" s="162">
        <f t="shared" si="7"/>
        <v>0</v>
      </c>
      <c r="AS17" s="162">
        <f t="shared" si="7"/>
        <v>0</v>
      </c>
      <c r="AT17" s="162">
        <f t="shared" si="7"/>
        <v>0</v>
      </c>
      <c r="AU17" s="162">
        <f t="shared" si="7"/>
        <v>0</v>
      </c>
      <c r="AV17" s="162">
        <f t="shared" si="7"/>
        <v>0</v>
      </c>
      <c r="AW17" s="162">
        <f t="shared" si="7"/>
        <v>0</v>
      </c>
      <c r="AX17" s="242">
        <f t="shared" si="7"/>
        <v>0</v>
      </c>
      <c r="AY17" s="162">
        <f t="shared" si="7"/>
        <v>0</v>
      </c>
      <c r="AZ17" s="162">
        <f t="shared" si="7"/>
        <v>269.8426383041633</v>
      </c>
      <c r="BA17" s="162">
        <f t="shared" si="7"/>
        <v>6248.191050534992</v>
      </c>
      <c r="BB17" s="162">
        <f t="shared" si="7"/>
        <v>15863.353638644196</v>
      </c>
      <c r="BC17" s="163">
        <f t="shared" si="7"/>
        <v>26372.34484919499</v>
      </c>
      <c r="BD17" s="162">
        <f t="shared" si="7"/>
        <v>36683.78256059494</v>
      </c>
      <c r="BE17" s="162">
        <f t="shared" si="7"/>
        <v>46376.80006346021</v>
      </c>
      <c r="BF17" s="162">
        <f t="shared" si="7"/>
        <v>55316.61661817368</v>
      </c>
      <c r="BG17" s="162">
        <f t="shared" si="7"/>
        <v>63492.50003120527</v>
      </c>
      <c r="BH17" s="248">
        <f t="shared" si="7"/>
        <v>70945.95920412973</v>
      </c>
      <c r="BI17" s="264" t="s">
        <v>118</v>
      </c>
      <c r="BK17" s="15"/>
      <c r="BL17" s="15"/>
      <c r="BM17" s="15"/>
      <c r="BN17" s="15"/>
      <c r="BO17" s="15"/>
      <c r="BQ17" s="20"/>
    </row>
    <row r="18" spans="2:69" ht="19.5" customHeight="1">
      <c r="B18" s="167" t="s">
        <v>99</v>
      </c>
      <c r="C18" s="264" t="s">
        <v>168</v>
      </c>
      <c r="D18" s="168" t="s">
        <v>151</v>
      </c>
      <c r="E18" s="155"/>
      <c r="F18" s="161" t="s">
        <v>5</v>
      </c>
      <c r="G18" s="156"/>
      <c r="H18" s="162"/>
      <c r="I18" s="181">
        <f>I17*(21+20*I15)</f>
        <v>0</v>
      </c>
      <c r="J18" s="162">
        <f>J17*(21+20*J15)</f>
        <v>0</v>
      </c>
      <c r="K18" s="162">
        <f aca="true" t="shared" si="8" ref="K18:BH18">K17*(21+20*K15)</f>
        <v>0</v>
      </c>
      <c r="L18" s="162">
        <f t="shared" si="8"/>
        <v>0</v>
      </c>
      <c r="M18" s="162">
        <f t="shared" si="8"/>
        <v>0</v>
      </c>
      <c r="N18" s="162">
        <f t="shared" si="8"/>
        <v>0</v>
      </c>
      <c r="O18" s="162">
        <f t="shared" si="8"/>
        <v>0</v>
      </c>
      <c r="P18" s="162">
        <f t="shared" si="8"/>
        <v>0</v>
      </c>
      <c r="Q18" s="162">
        <f t="shared" si="8"/>
        <v>0</v>
      </c>
      <c r="R18" s="162">
        <f t="shared" si="8"/>
        <v>0</v>
      </c>
      <c r="S18" s="162">
        <f t="shared" si="8"/>
        <v>0</v>
      </c>
      <c r="T18" s="162">
        <f t="shared" si="8"/>
        <v>0</v>
      </c>
      <c r="U18" s="162">
        <f t="shared" si="8"/>
        <v>0</v>
      </c>
      <c r="V18" s="162">
        <f t="shared" si="8"/>
        <v>0</v>
      </c>
      <c r="W18" s="162">
        <f t="shared" si="8"/>
        <v>0</v>
      </c>
      <c r="X18" s="162">
        <f t="shared" si="8"/>
        <v>0</v>
      </c>
      <c r="Y18" s="162">
        <f t="shared" si="8"/>
        <v>0</v>
      </c>
      <c r="Z18" s="162">
        <f t="shared" si="8"/>
        <v>0</v>
      </c>
      <c r="AA18" s="162">
        <f t="shared" si="8"/>
        <v>0</v>
      </c>
      <c r="AB18" s="162">
        <f t="shared" si="8"/>
        <v>0</v>
      </c>
      <c r="AC18" s="162">
        <f t="shared" si="8"/>
        <v>0</v>
      </c>
      <c r="AD18" s="162">
        <f t="shared" si="8"/>
        <v>0</v>
      </c>
      <c r="AE18" s="162">
        <f t="shared" si="8"/>
        <v>0</v>
      </c>
      <c r="AF18" s="162">
        <f t="shared" si="8"/>
        <v>0</v>
      </c>
      <c r="AG18" s="162">
        <f t="shared" si="8"/>
        <v>0</v>
      </c>
      <c r="AH18" s="162">
        <f t="shared" si="8"/>
        <v>0</v>
      </c>
      <c r="AI18" s="162">
        <f t="shared" si="8"/>
        <v>0</v>
      </c>
      <c r="AJ18" s="162">
        <f t="shared" si="8"/>
        <v>0</v>
      </c>
      <c r="AK18" s="162">
        <f t="shared" si="8"/>
        <v>0</v>
      </c>
      <c r="AL18" s="162">
        <f t="shared" si="8"/>
        <v>0</v>
      </c>
      <c r="AM18" s="162">
        <f t="shared" si="8"/>
        <v>0</v>
      </c>
      <c r="AN18" s="162">
        <f t="shared" si="8"/>
        <v>0</v>
      </c>
      <c r="AO18" s="162">
        <f t="shared" si="8"/>
        <v>0</v>
      </c>
      <c r="AP18" s="162">
        <f t="shared" si="8"/>
        <v>0</v>
      </c>
      <c r="AQ18" s="162">
        <f t="shared" si="8"/>
        <v>0</v>
      </c>
      <c r="AR18" s="162">
        <f t="shared" si="8"/>
        <v>0</v>
      </c>
      <c r="AS18" s="162">
        <f t="shared" si="8"/>
        <v>0</v>
      </c>
      <c r="AT18" s="162">
        <f t="shared" si="8"/>
        <v>0</v>
      </c>
      <c r="AU18" s="162">
        <f t="shared" si="8"/>
        <v>0</v>
      </c>
      <c r="AV18" s="162">
        <f t="shared" si="8"/>
        <v>0</v>
      </c>
      <c r="AW18" s="162">
        <f t="shared" si="8"/>
        <v>0</v>
      </c>
      <c r="AX18" s="242">
        <f t="shared" si="8"/>
        <v>0</v>
      </c>
      <c r="AY18" s="162">
        <f t="shared" si="8"/>
        <v>0</v>
      </c>
      <c r="AZ18" s="162">
        <f t="shared" si="8"/>
        <v>11266.682169666225</v>
      </c>
      <c r="BA18" s="162">
        <f t="shared" si="8"/>
        <v>282600.5597476235</v>
      </c>
      <c r="BB18" s="162">
        <f t="shared" si="8"/>
        <v>772633.7408943844</v>
      </c>
      <c r="BC18" s="163">
        <f t="shared" si="8"/>
        <v>1376160.8342536488</v>
      </c>
      <c r="BD18" s="162">
        <f t="shared" si="8"/>
        <v>2041759.1999742542</v>
      </c>
      <c r="BE18" s="162">
        <f t="shared" si="8"/>
        <v>2742480.667621556</v>
      </c>
      <c r="BF18" s="162">
        <f t="shared" si="8"/>
        <v>3463436.8445484973</v>
      </c>
      <c r="BG18" s="162">
        <f t="shared" si="8"/>
        <v>4196063.197963919</v>
      </c>
      <c r="BH18" s="248">
        <f t="shared" si="8"/>
        <v>4935280.053882035</v>
      </c>
      <c r="BI18" s="264" t="s">
        <v>168</v>
      </c>
      <c r="BK18" s="15"/>
      <c r="BL18" s="15"/>
      <c r="BM18" s="15"/>
      <c r="BN18" s="15"/>
      <c r="BO18" s="15"/>
      <c r="BQ18" s="20"/>
    </row>
    <row r="19" spans="2:69" ht="19.5" customHeight="1">
      <c r="B19" s="167" t="s">
        <v>100</v>
      </c>
      <c r="C19" s="265" t="s">
        <v>169</v>
      </c>
      <c r="D19" s="168" t="s">
        <v>153</v>
      </c>
      <c r="E19" s="155"/>
      <c r="F19" s="161" t="s">
        <v>5</v>
      </c>
      <c r="G19" s="156"/>
      <c r="H19" s="162"/>
      <c r="I19" s="181">
        <f>I16-I18</f>
        <v>0.01011904761904762</v>
      </c>
      <c r="J19" s="162">
        <f aca="true" t="shared" si="9" ref="J19:BH19">J16-J18</f>
        <v>76633.28513356562</v>
      </c>
      <c r="K19" s="162">
        <f t="shared" si="9"/>
        <v>153266.56014808363</v>
      </c>
      <c r="L19" s="162">
        <f t="shared" si="9"/>
        <v>229899.83516260164</v>
      </c>
      <c r="M19" s="162">
        <f t="shared" si="9"/>
        <v>306533.1101771197</v>
      </c>
      <c r="N19" s="162">
        <f t="shared" si="9"/>
        <v>383166.3851916377</v>
      </c>
      <c r="O19" s="162">
        <f t="shared" si="9"/>
        <v>459799.66020615574</v>
      </c>
      <c r="P19" s="162">
        <f t="shared" si="9"/>
        <v>536432.9352206738</v>
      </c>
      <c r="Q19" s="162">
        <f t="shared" si="9"/>
        <v>613066.2102351919</v>
      </c>
      <c r="R19" s="162">
        <f t="shared" si="9"/>
        <v>689699.4852497098</v>
      </c>
      <c r="S19" s="162">
        <f t="shared" si="9"/>
        <v>766332.7602642277</v>
      </c>
      <c r="T19" s="162">
        <f t="shared" si="9"/>
        <v>842966.0352787459</v>
      </c>
      <c r="U19" s="162">
        <f t="shared" si="9"/>
        <v>919599.310293264</v>
      </c>
      <c r="V19" s="162">
        <f t="shared" si="9"/>
        <v>996232.5853077818</v>
      </c>
      <c r="W19" s="162">
        <f t="shared" si="9"/>
        <v>1072865.8603222999</v>
      </c>
      <c r="X19" s="162">
        <f t="shared" si="9"/>
        <v>1149499.135336818</v>
      </c>
      <c r="Y19" s="162">
        <f t="shared" si="9"/>
        <v>1226132.410351336</v>
      </c>
      <c r="Z19" s="162">
        <f t="shared" si="9"/>
        <v>1302765.685365854</v>
      </c>
      <c r="AA19" s="162">
        <f t="shared" si="9"/>
        <v>1379398.9603803721</v>
      </c>
      <c r="AB19" s="162">
        <f t="shared" si="9"/>
        <v>1456032.2353948902</v>
      </c>
      <c r="AC19" s="162">
        <f t="shared" si="9"/>
        <v>1532665.510409408</v>
      </c>
      <c r="AD19" s="162">
        <f t="shared" si="9"/>
        <v>1609298.7854239258</v>
      </c>
      <c r="AE19" s="162">
        <f t="shared" si="9"/>
        <v>1685932.0604384441</v>
      </c>
      <c r="AF19" s="162">
        <f t="shared" si="9"/>
        <v>1762565.3354529622</v>
      </c>
      <c r="AG19" s="162">
        <f t="shared" si="9"/>
        <v>1839198.6104674803</v>
      </c>
      <c r="AH19" s="162">
        <f t="shared" si="9"/>
        <v>1915831.8854819983</v>
      </c>
      <c r="AI19" s="162">
        <f t="shared" si="9"/>
        <v>1992465.1604965162</v>
      </c>
      <c r="AJ19" s="162">
        <f t="shared" si="9"/>
        <v>2069098.4355110342</v>
      </c>
      <c r="AK19" s="162">
        <f t="shared" si="9"/>
        <v>2145731.7105255523</v>
      </c>
      <c r="AL19" s="162">
        <f t="shared" si="9"/>
        <v>2222364.9855400706</v>
      </c>
      <c r="AM19" s="162">
        <f t="shared" si="9"/>
        <v>2298998.2605545884</v>
      </c>
      <c r="AN19" s="162">
        <f t="shared" si="9"/>
        <v>2375631.5355691067</v>
      </c>
      <c r="AO19" s="162">
        <f t="shared" si="9"/>
        <v>2452264.8105836245</v>
      </c>
      <c r="AP19" s="162">
        <f t="shared" si="9"/>
        <v>2528898.085598143</v>
      </c>
      <c r="AQ19" s="162">
        <f t="shared" si="9"/>
        <v>2605531.36061266</v>
      </c>
      <c r="AR19" s="162">
        <f t="shared" si="9"/>
        <v>2682164.6356271785</v>
      </c>
      <c r="AS19" s="162">
        <f t="shared" si="9"/>
        <v>2758797.910641696</v>
      </c>
      <c r="AT19" s="162">
        <f t="shared" si="9"/>
        <v>2835431.1856562137</v>
      </c>
      <c r="AU19" s="162">
        <f t="shared" si="9"/>
        <v>2912064.460670731</v>
      </c>
      <c r="AV19" s="162">
        <f t="shared" si="9"/>
        <v>2988697.7356852493</v>
      </c>
      <c r="AW19" s="162">
        <f t="shared" si="9"/>
        <v>3065331.0106997667</v>
      </c>
      <c r="AX19" s="242">
        <f t="shared" si="9"/>
        <v>3141964.2857142854</v>
      </c>
      <c r="AY19" s="162">
        <f t="shared" si="9"/>
        <v>3933464.5784543334</v>
      </c>
      <c r="AZ19" s="162">
        <f t="shared" si="9"/>
        <v>4713698.189024714</v>
      </c>
      <c r="BA19" s="162">
        <f t="shared" si="9"/>
        <v>5233864.604186803</v>
      </c>
      <c r="BB19" s="162">
        <f t="shared" si="9"/>
        <v>5535331.715780089</v>
      </c>
      <c r="BC19" s="163">
        <f t="shared" si="9"/>
        <v>5723304.915160872</v>
      </c>
      <c r="BD19" s="162">
        <f t="shared" si="9"/>
        <v>5849206.842180312</v>
      </c>
      <c r="BE19" s="162">
        <f t="shared" si="9"/>
        <v>5939985.667273056</v>
      </c>
      <c r="BF19" s="162">
        <f t="shared" si="9"/>
        <v>6010529.783086162</v>
      </c>
      <c r="BG19" s="162">
        <f t="shared" si="9"/>
        <v>6069403.722410788</v>
      </c>
      <c r="BH19" s="248">
        <f t="shared" si="9"/>
        <v>6121687.159232722</v>
      </c>
      <c r="BI19" s="265" t="s">
        <v>169</v>
      </c>
      <c r="BK19" s="15"/>
      <c r="BL19" s="15"/>
      <c r="BM19" s="15"/>
      <c r="BN19" s="15"/>
      <c r="BO19" s="15"/>
      <c r="BQ19" s="20"/>
    </row>
    <row r="20" spans="2:69" ht="19.5" customHeight="1">
      <c r="B20" s="167" t="s">
        <v>102</v>
      </c>
      <c r="C20" s="265" t="s">
        <v>170</v>
      </c>
      <c r="D20" s="231" t="s">
        <v>154</v>
      </c>
      <c r="E20" s="155"/>
      <c r="F20" s="161" t="s">
        <v>72</v>
      </c>
      <c r="G20" s="156"/>
      <c r="H20" s="187">
        <f aca="true" t="shared" si="10" ref="H20:AM20">SIGN(H14)*SIGN(1-d_cu/H14)*IF(ABS(e_cu2*(1-d_cu/H14))&gt;e_ud,e_ud,(e_cu2*(1-d_cu/H14)))</f>
        <v>-0.0161</v>
      </c>
      <c r="I20" s="181">
        <f t="shared" si="10"/>
        <v>-0.025</v>
      </c>
      <c r="J20" s="187">
        <f t="shared" si="10"/>
        <v>0.013137679016079996</v>
      </c>
      <c r="K20" s="187">
        <f t="shared" si="10"/>
        <v>0.004818840057270913</v>
      </c>
      <c r="L20" s="187">
        <f t="shared" si="10"/>
        <v>0.002045893493565267</v>
      </c>
      <c r="M20" s="187">
        <f t="shared" si="10"/>
        <v>0.0006594201659431987</v>
      </c>
      <c r="N20" s="187">
        <f t="shared" si="10"/>
        <v>0.00017246384527620141</v>
      </c>
      <c r="O20" s="187">
        <f t="shared" si="10"/>
        <v>0.0007270531921917012</v>
      </c>
      <c r="P20" s="187">
        <f t="shared" si="10"/>
        <v>0.001123188442977499</v>
      </c>
      <c r="Q20" s="187">
        <f t="shared" si="10"/>
        <v>0.0014202898827014635</v>
      </c>
      <c r="R20" s="187">
        <f t="shared" si="10"/>
        <v>0.0016513687812332084</v>
      </c>
      <c r="S20" s="187">
        <f t="shared" si="10"/>
        <v>0.0018362319006688607</v>
      </c>
      <c r="T20" s="187">
        <f t="shared" si="10"/>
        <v>0.001987483544246961</v>
      </c>
      <c r="U20" s="187">
        <f t="shared" si="10"/>
        <v>0.0021135265808394335</v>
      </c>
      <c r="V20" s="187">
        <f t="shared" si="10"/>
        <v>0.0022201783812300277</v>
      </c>
      <c r="W20" s="187">
        <f t="shared" si="10"/>
        <v>0.0023115942102799538</v>
      </c>
      <c r="X20" s="187">
        <f t="shared" si="10"/>
        <v>0.0023908212622305203</v>
      </c>
      <c r="Y20" s="187">
        <f t="shared" si="10"/>
        <v>0.0024601449327689975</v>
      </c>
      <c r="Z20" s="187">
        <f t="shared" si="10"/>
        <v>0.002521312877425119</v>
      </c>
      <c r="AA20" s="187">
        <f t="shared" si="10"/>
        <v>0.0025756843838359742</v>
      </c>
      <c r="AB20" s="187">
        <f t="shared" si="10"/>
        <v>0.0026243325738223044</v>
      </c>
      <c r="AC20" s="187">
        <f t="shared" si="10"/>
        <v>0.0026681159448421203</v>
      </c>
      <c r="AD20" s="187">
        <f t="shared" si="10"/>
        <v>0.0027077294710291253</v>
      </c>
      <c r="AE20" s="187">
        <f t="shared" si="10"/>
        <v>0.002743741767584381</v>
      </c>
      <c r="AF20" s="187">
        <f t="shared" si="10"/>
        <v>0.002776622560109332</v>
      </c>
      <c r="AG20" s="187">
        <f t="shared" si="10"/>
        <v>0.0028067632866056124</v>
      </c>
      <c r="AH20" s="187">
        <f t="shared" si="10"/>
        <v>0.0028344927549949265</v>
      </c>
      <c r="AI20" s="187">
        <f t="shared" si="10"/>
        <v>0.002860089187365126</v>
      </c>
      <c r="AJ20" s="187">
        <f t="shared" si="10"/>
        <v>0.0028837895877171765</v>
      </c>
      <c r="AK20" s="187">
        <f t="shared" si="10"/>
        <v>0.002905797102337778</v>
      </c>
      <c r="AL20" s="187">
        <f t="shared" si="10"/>
        <v>0.002926286857336283</v>
      </c>
      <c r="AM20" s="187">
        <f t="shared" si="10"/>
        <v>0.002945410628674233</v>
      </c>
      <c r="AN20" s="187">
        <f aca="true" t="shared" si="11" ref="AN20:BH20">SIGN(AN14)*SIGN(1-d_cu/AN14)*IF(ABS(e_cu2*(1-d_cu/AN14))&gt;e_ud,e_ud,(e_cu2*(1-d_cu/AN14)))</f>
        <v>0.002963300608318217</v>
      </c>
      <c r="AO20" s="187">
        <f t="shared" si="11"/>
        <v>0.002980072464239065</v>
      </c>
      <c r="AP20" s="187">
        <f t="shared" si="11"/>
        <v>0.0029958278440475657</v>
      </c>
      <c r="AQ20" s="187">
        <f t="shared" si="11"/>
        <v>0.0030106564368121065</v>
      </c>
      <c r="AR20" s="187">
        <f t="shared" si="11"/>
        <v>0.00302463768142187</v>
      </c>
      <c r="AS20" s="187">
        <f t="shared" si="11"/>
        <v>0.0030378421902228295</v>
      </c>
      <c r="AT20" s="187">
        <f t="shared" si="11"/>
        <v>0.003050332941793852</v>
      </c>
      <c r="AU20" s="187">
        <f t="shared" si="11"/>
        <v>0.0030621662853897364</v>
      </c>
      <c r="AV20" s="187">
        <f t="shared" si="11"/>
        <v>0.0030733927908545536</v>
      </c>
      <c r="AW20" s="187">
        <f t="shared" si="11"/>
        <v>0.0030840579710479823</v>
      </c>
      <c r="AX20" s="242">
        <f t="shared" si="11"/>
        <v>0.003094202898550725</v>
      </c>
      <c r="AY20" s="187">
        <f t="shared" si="11"/>
        <v>0.003175858273394948</v>
      </c>
      <c r="AZ20" s="187">
        <f t="shared" si="11"/>
        <v>0.0032301567239635997</v>
      </c>
      <c r="BA20" s="187">
        <f t="shared" si="11"/>
        <v>0.0032688737330681065</v>
      </c>
      <c r="BB20" s="187">
        <f t="shared" si="11"/>
        <v>0.003297874606518189</v>
      </c>
      <c r="BC20" s="187">
        <f t="shared" si="11"/>
        <v>0.003320409021607697</v>
      </c>
      <c r="BD20" s="187">
        <f t="shared" si="11"/>
        <v>0.0033384228251409544</v>
      </c>
      <c r="BE20" s="187">
        <f t="shared" si="11"/>
        <v>0.0033531523243717277</v>
      </c>
      <c r="BF20" s="187">
        <f t="shared" si="11"/>
        <v>0.0033654206785697404</v>
      </c>
      <c r="BG20" s="187">
        <f t="shared" si="11"/>
        <v>0.0033757971741675574</v>
      </c>
      <c r="BH20" s="242">
        <f t="shared" si="11"/>
        <v>0.00338468809073724</v>
      </c>
      <c r="BI20" s="265" t="s">
        <v>170</v>
      </c>
      <c r="BK20" s="21"/>
      <c r="BL20" s="21"/>
      <c r="BM20" s="21"/>
      <c r="BN20" s="21"/>
      <c r="BO20" s="21"/>
      <c r="BQ20" s="22"/>
    </row>
    <row r="21" spans="2:61" s="162" customFormat="1" ht="19.5" customHeight="1">
      <c r="B21" s="167" t="s">
        <v>146</v>
      </c>
      <c r="C21" s="265" t="s">
        <v>171</v>
      </c>
      <c r="F21" s="161" t="s">
        <v>0</v>
      </c>
      <c r="H21" s="187">
        <f>ABS(H20)</f>
        <v>0.0161</v>
      </c>
      <c r="I21" s="181">
        <f aca="true" t="shared" si="12" ref="I21:BH21">ABS(I20)</f>
        <v>0.025</v>
      </c>
      <c r="J21" s="187">
        <f t="shared" si="12"/>
        <v>0.013137679016079996</v>
      </c>
      <c r="K21" s="187">
        <f t="shared" si="12"/>
        <v>0.004818840057270913</v>
      </c>
      <c r="L21" s="187">
        <f t="shared" si="12"/>
        <v>0.002045893493565267</v>
      </c>
      <c r="M21" s="187">
        <f t="shared" si="12"/>
        <v>0.0006594201659431987</v>
      </c>
      <c r="N21" s="187">
        <f t="shared" si="12"/>
        <v>0.00017246384527620141</v>
      </c>
      <c r="O21" s="187">
        <f t="shared" si="12"/>
        <v>0.0007270531921917012</v>
      </c>
      <c r="P21" s="187">
        <f t="shared" si="12"/>
        <v>0.001123188442977499</v>
      </c>
      <c r="Q21" s="187">
        <f t="shared" si="12"/>
        <v>0.0014202898827014635</v>
      </c>
      <c r="R21" s="187">
        <f t="shared" si="12"/>
        <v>0.0016513687812332084</v>
      </c>
      <c r="S21" s="187">
        <f t="shared" si="12"/>
        <v>0.0018362319006688607</v>
      </c>
      <c r="T21" s="187">
        <f t="shared" si="12"/>
        <v>0.001987483544246961</v>
      </c>
      <c r="U21" s="187">
        <f t="shared" si="12"/>
        <v>0.0021135265808394335</v>
      </c>
      <c r="V21" s="187">
        <f t="shared" si="12"/>
        <v>0.0022201783812300277</v>
      </c>
      <c r="W21" s="187">
        <f t="shared" si="12"/>
        <v>0.0023115942102799538</v>
      </c>
      <c r="X21" s="187">
        <f t="shared" si="12"/>
        <v>0.0023908212622305203</v>
      </c>
      <c r="Y21" s="187">
        <f t="shared" si="12"/>
        <v>0.0024601449327689975</v>
      </c>
      <c r="Z21" s="187">
        <f t="shared" si="12"/>
        <v>0.002521312877425119</v>
      </c>
      <c r="AA21" s="187">
        <f t="shared" si="12"/>
        <v>0.0025756843838359742</v>
      </c>
      <c r="AB21" s="187">
        <f t="shared" si="12"/>
        <v>0.0026243325738223044</v>
      </c>
      <c r="AC21" s="187">
        <f t="shared" si="12"/>
        <v>0.0026681159448421203</v>
      </c>
      <c r="AD21" s="187">
        <f t="shared" si="12"/>
        <v>0.0027077294710291253</v>
      </c>
      <c r="AE21" s="187">
        <f t="shared" si="12"/>
        <v>0.002743741767584381</v>
      </c>
      <c r="AF21" s="187">
        <f t="shared" si="12"/>
        <v>0.002776622560109332</v>
      </c>
      <c r="AG21" s="187">
        <f t="shared" si="12"/>
        <v>0.0028067632866056124</v>
      </c>
      <c r="AH21" s="187">
        <f t="shared" si="12"/>
        <v>0.0028344927549949265</v>
      </c>
      <c r="AI21" s="187">
        <f t="shared" si="12"/>
        <v>0.002860089187365126</v>
      </c>
      <c r="AJ21" s="187">
        <f t="shared" si="12"/>
        <v>0.0028837895877171765</v>
      </c>
      <c r="AK21" s="187">
        <f t="shared" si="12"/>
        <v>0.002905797102337778</v>
      </c>
      <c r="AL21" s="187">
        <f t="shared" si="12"/>
        <v>0.002926286857336283</v>
      </c>
      <c r="AM21" s="187">
        <f t="shared" si="12"/>
        <v>0.002945410628674233</v>
      </c>
      <c r="AN21" s="187">
        <f t="shared" si="12"/>
        <v>0.002963300608318217</v>
      </c>
      <c r="AO21" s="187">
        <f t="shared" si="12"/>
        <v>0.002980072464239065</v>
      </c>
      <c r="AP21" s="187">
        <f t="shared" si="12"/>
        <v>0.0029958278440475657</v>
      </c>
      <c r="AQ21" s="187">
        <f t="shared" si="12"/>
        <v>0.0030106564368121065</v>
      </c>
      <c r="AR21" s="187">
        <f t="shared" si="12"/>
        <v>0.00302463768142187</v>
      </c>
      <c r="AS21" s="187">
        <f t="shared" si="12"/>
        <v>0.0030378421902228295</v>
      </c>
      <c r="AT21" s="187">
        <f t="shared" si="12"/>
        <v>0.003050332941793852</v>
      </c>
      <c r="AU21" s="187">
        <f t="shared" si="12"/>
        <v>0.0030621662853897364</v>
      </c>
      <c r="AV21" s="187">
        <f t="shared" si="12"/>
        <v>0.0030733927908545536</v>
      </c>
      <c r="AW21" s="187">
        <f t="shared" si="12"/>
        <v>0.0030840579710479823</v>
      </c>
      <c r="AX21" s="241">
        <f t="shared" si="12"/>
        <v>0.003094202898550725</v>
      </c>
      <c r="AY21" s="187">
        <f t="shared" si="12"/>
        <v>0.003175858273394948</v>
      </c>
      <c r="AZ21" s="187">
        <f t="shared" si="12"/>
        <v>0.0032301567239635997</v>
      </c>
      <c r="BA21" s="187">
        <f t="shared" si="12"/>
        <v>0.0032688737330681065</v>
      </c>
      <c r="BB21" s="187">
        <f t="shared" si="12"/>
        <v>0.003297874606518189</v>
      </c>
      <c r="BC21" s="187">
        <f t="shared" si="12"/>
        <v>0.003320409021607697</v>
      </c>
      <c r="BD21" s="187">
        <f t="shared" si="12"/>
        <v>0.0033384228251409544</v>
      </c>
      <c r="BE21" s="187">
        <f t="shared" si="12"/>
        <v>0.0033531523243717277</v>
      </c>
      <c r="BF21" s="187">
        <f t="shared" si="12"/>
        <v>0.0033654206785697404</v>
      </c>
      <c r="BG21" s="187">
        <f t="shared" si="12"/>
        <v>0.0033757971741675574</v>
      </c>
      <c r="BH21" s="241">
        <f t="shared" si="12"/>
        <v>0.00338468809073724</v>
      </c>
      <c r="BI21" s="265" t="s">
        <v>171</v>
      </c>
    </row>
    <row r="22" spans="2:69" ht="19.5" customHeight="1">
      <c r="B22" s="167" t="s">
        <v>137</v>
      </c>
      <c r="C22" s="265" t="s">
        <v>172</v>
      </c>
      <c r="D22" s="345" t="s">
        <v>155</v>
      </c>
      <c r="E22" s="346"/>
      <c r="F22" s="161" t="s">
        <v>0</v>
      </c>
      <c r="G22" s="156"/>
      <c r="H22" s="162">
        <f>(k_s+(1-k_s)/(1+(H20/e_yd)^R_s)^(1/R_s))*E_s</f>
        <v>35654.87442614097</v>
      </c>
      <c r="I22" s="181">
        <f aca="true" t="shared" si="13" ref="I22:AM22">(k_s+(1-k_s)/(1+(I20/e_yd)^R_s)^(1/R_s))*E_s</f>
        <v>26521.739130434784</v>
      </c>
      <c r="J22" s="162">
        <f t="shared" si="13"/>
        <v>41439.60799737311</v>
      </c>
      <c r="K22" s="162">
        <f t="shared" si="13"/>
        <v>95714.2944846675</v>
      </c>
      <c r="L22" s="162">
        <f t="shared" si="13"/>
        <v>197545.1804853532</v>
      </c>
      <c r="M22" s="162">
        <f t="shared" si="13"/>
        <v>199999.99999958684</v>
      </c>
      <c r="N22" s="162">
        <f t="shared" si="13"/>
        <v>200000</v>
      </c>
      <c r="O22" s="162">
        <f t="shared" si="13"/>
        <v>199999.9999970879</v>
      </c>
      <c r="P22" s="162">
        <f t="shared" si="13"/>
        <v>199999.982544498</v>
      </c>
      <c r="Q22" s="162">
        <f t="shared" si="13"/>
        <v>199998.0928961863</v>
      </c>
      <c r="R22" s="162">
        <f t="shared" si="13"/>
        <v>199961.20015153734</v>
      </c>
      <c r="S22" s="162">
        <f t="shared" si="13"/>
        <v>199681.03092981287</v>
      </c>
      <c r="T22" s="162">
        <f t="shared" si="13"/>
        <v>198543.12304871634</v>
      </c>
      <c r="U22" s="162">
        <f t="shared" si="13"/>
        <v>195767.12130907684</v>
      </c>
      <c r="V22" s="162">
        <f t="shared" si="13"/>
        <v>191405.8445903531</v>
      </c>
      <c r="W22" s="162">
        <f t="shared" si="13"/>
        <v>186403.47954194996</v>
      </c>
      <c r="X22" s="162">
        <f t="shared" si="13"/>
        <v>181564.7333624289</v>
      </c>
      <c r="Y22" s="162">
        <f t="shared" si="13"/>
        <v>177216.20893541715</v>
      </c>
      <c r="Z22" s="162">
        <f t="shared" si="13"/>
        <v>173409.51280536136</v>
      </c>
      <c r="AA22" s="162">
        <f t="shared" si="13"/>
        <v>170097.4594108427</v>
      </c>
      <c r="AB22" s="162">
        <f t="shared" si="13"/>
        <v>167209.94979836105</v>
      </c>
      <c r="AC22" s="162">
        <f t="shared" si="13"/>
        <v>164679.60052642546</v>
      </c>
      <c r="AD22" s="162">
        <f t="shared" si="13"/>
        <v>162448.55386972788</v>
      </c>
      <c r="AE22" s="162">
        <f t="shared" si="13"/>
        <v>160469.02211445922</v>
      </c>
      <c r="AF22" s="162">
        <f t="shared" si="13"/>
        <v>158702.0223360497</v>
      </c>
      <c r="AG22" s="162">
        <f t="shared" si="13"/>
        <v>157115.7982131636</v>
      </c>
      <c r="AH22" s="162">
        <f t="shared" si="13"/>
        <v>155684.38839234918</v>
      </c>
      <c r="AI22" s="162">
        <f t="shared" si="13"/>
        <v>154386.44643735964</v>
      </c>
      <c r="AJ22" s="162">
        <f t="shared" si="13"/>
        <v>153204.30314663076</v>
      </c>
      <c r="AK22" s="162">
        <f t="shared" si="13"/>
        <v>152123.2315892896</v>
      </c>
      <c r="AL22" s="162">
        <f t="shared" si="13"/>
        <v>151130.872885384</v>
      </c>
      <c r="AM22" s="162">
        <f t="shared" si="13"/>
        <v>150216.78669837804</v>
      </c>
      <c r="AN22" s="162">
        <f aca="true" t="shared" si="14" ref="AN22:BH22">(k_s+(1-k_s)/(1+(AN20/e_yd)^R_s)^(1/R_s))*E_s</f>
        <v>149372.09773901675</v>
      </c>
      <c r="AO22" s="162">
        <f t="shared" si="14"/>
        <v>148589.21612910277</v>
      </c>
      <c r="AP22" s="162">
        <f t="shared" si="14"/>
        <v>147861.61474992117</v>
      </c>
      <c r="AQ22" s="162">
        <f t="shared" si="14"/>
        <v>147183.65076985696</v>
      </c>
      <c r="AR22" s="162">
        <f t="shared" si="14"/>
        <v>146550.42162523247</v>
      </c>
      <c r="AS22" s="162">
        <f t="shared" si="14"/>
        <v>145957.64804096174</v>
      </c>
      <c r="AT22" s="162">
        <f t="shared" si="14"/>
        <v>145401.57841181566</v>
      </c>
      <c r="AU22" s="162">
        <f t="shared" si="14"/>
        <v>144878.91016822477</v>
      </c>
      <c r="AV22" s="162">
        <f t="shared" si="14"/>
        <v>144386.72473368357</v>
      </c>
      <c r="AW22" s="162">
        <f t="shared" si="14"/>
        <v>143922.4334263489</v>
      </c>
      <c r="AX22" s="242">
        <f t="shared" si="14"/>
        <v>143483.73222602758</v>
      </c>
      <c r="AY22" s="162">
        <f t="shared" si="14"/>
        <v>140053.96075036837</v>
      </c>
      <c r="AZ22" s="162">
        <f t="shared" si="14"/>
        <v>137868.71047475652</v>
      </c>
      <c r="BA22" s="162">
        <f t="shared" si="14"/>
        <v>136354.70175832874</v>
      </c>
      <c r="BB22" s="162">
        <f t="shared" si="14"/>
        <v>135243.85315471014</v>
      </c>
      <c r="BC22" s="162">
        <f t="shared" si="14"/>
        <v>134394.05842317143</v>
      </c>
      <c r="BD22" s="162">
        <f t="shared" si="14"/>
        <v>133722.9730720831</v>
      </c>
      <c r="BE22" s="162">
        <f t="shared" si="14"/>
        <v>133179.58876087156</v>
      </c>
      <c r="BF22" s="162">
        <f t="shared" si="14"/>
        <v>132730.62244669453</v>
      </c>
      <c r="BG22" s="162">
        <f t="shared" si="14"/>
        <v>132353.43257262907</v>
      </c>
      <c r="BH22" s="242">
        <f t="shared" si="14"/>
        <v>132032.08095671583</v>
      </c>
      <c r="BI22" s="265" t="s">
        <v>172</v>
      </c>
      <c r="BK22" s="21"/>
      <c r="BL22" s="21"/>
      <c r="BM22" s="21"/>
      <c r="BN22" s="21"/>
      <c r="BO22" s="21"/>
      <c r="BQ22" s="22"/>
    </row>
    <row r="23" spans="2:69" ht="19.5" customHeight="1">
      <c r="B23" s="167" t="s">
        <v>147</v>
      </c>
      <c r="C23" s="265" t="s">
        <v>173</v>
      </c>
      <c r="D23" s="232" t="s">
        <v>156</v>
      </c>
      <c r="E23" s="229"/>
      <c r="F23" s="161" t="s">
        <v>0</v>
      </c>
      <c r="G23" s="187"/>
      <c r="H23" s="148">
        <f aca="true" t="shared" si="15" ref="H23:AM23">f_cd*(1-IF(H21&lt;e_c2,(1-H21/e_c2)^2,0))</f>
        <v>25</v>
      </c>
      <c r="I23" s="267">
        <f t="shared" si="15"/>
        <v>25</v>
      </c>
      <c r="J23" s="148">
        <f t="shared" si="15"/>
        <v>25</v>
      </c>
      <c r="K23" s="148">
        <f t="shared" si="15"/>
        <v>25</v>
      </c>
      <c r="L23" s="148">
        <f t="shared" si="15"/>
        <v>25</v>
      </c>
      <c r="M23" s="148">
        <f t="shared" si="15"/>
        <v>13.767785678251492</v>
      </c>
      <c r="N23" s="148">
        <f t="shared" si="15"/>
        <v>4.125697519858454</v>
      </c>
      <c r="O23" s="148">
        <f t="shared" si="15"/>
        <v>14.872540153066637</v>
      </c>
      <c r="P23" s="148">
        <f t="shared" si="15"/>
        <v>20.19500933419861</v>
      </c>
      <c r="Q23" s="148">
        <f t="shared" si="15"/>
        <v>22.899601124385732</v>
      </c>
      <c r="R23" s="148">
        <f t="shared" si="15"/>
        <v>24.240351708132383</v>
      </c>
      <c r="S23" s="148">
        <f t="shared" si="15"/>
        <v>24.832375060259164</v>
      </c>
      <c r="T23" s="148">
        <f t="shared" si="15"/>
        <v>24.99902086459614</v>
      </c>
      <c r="U23" s="148">
        <f t="shared" si="15"/>
        <v>25</v>
      </c>
      <c r="V23" s="148">
        <f t="shared" si="15"/>
        <v>25</v>
      </c>
      <c r="W23" s="148">
        <f t="shared" si="15"/>
        <v>25</v>
      </c>
      <c r="X23" s="148">
        <f t="shared" si="15"/>
        <v>25</v>
      </c>
      <c r="Y23" s="148">
        <f t="shared" si="15"/>
        <v>25</v>
      </c>
      <c r="Z23" s="148">
        <f t="shared" si="15"/>
        <v>25</v>
      </c>
      <c r="AA23" s="148">
        <f t="shared" si="15"/>
        <v>25</v>
      </c>
      <c r="AB23" s="148">
        <f t="shared" si="15"/>
        <v>25</v>
      </c>
      <c r="AC23" s="148">
        <f t="shared" si="15"/>
        <v>25</v>
      </c>
      <c r="AD23" s="148">
        <f t="shared" si="15"/>
        <v>25</v>
      </c>
      <c r="AE23" s="148">
        <f t="shared" si="15"/>
        <v>25</v>
      </c>
      <c r="AF23" s="148">
        <f t="shared" si="15"/>
        <v>25</v>
      </c>
      <c r="AG23" s="148">
        <f t="shared" si="15"/>
        <v>25</v>
      </c>
      <c r="AH23" s="148">
        <f t="shared" si="15"/>
        <v>25</v>
      </c>
      <c r="AI23" s="148">
        <f t="shared" si="15"/>
        <v>25</v>
      </c>
      <c r="AJ23" s="148">
        <f t="shared" si="15"/>
        <v>25</v>
      </c>
      <c r="AK23" s="148">
        <f t="shared" si="15"/>
        <v>25</v>
      </c>
      <c r="AL23" s="148">
        <f t="shared" si="15"/>
        <v>25</v>
      </c>
      <c r="AM23" s="148">
        <f t="shared" si="15"/>
        <v>25</v>
      </c>
      <c r="AN23" s="148">
        <f aca="true" t="shared" si="16" ref="AN23:BH23">f_cd*(1-IF(AN21&lt;e_c2,(1-AN21/e_c2)^2,0))</f>
        <v>25</v>
      </c>
      <c r="AO23" s="148">
        <f t="shared" si="16"/>
        <v>25</v>
      </c>
      <c r="AP23" s="148">
        <f t="shared" si="16"/>
        <v>25</v>
      </c>
      <c r="AQ23" s="148">
        <f t="shared" si="16"/>
        <v>25</v>
      </c>
      <c r="AR23" s="148">
        <f t="shared" si="16"/>
        <v>25</v>
      </c>
      <c r="AS23" s="148">
        <f t="shared" si="16"/>
        <v>25</v>
      </c>
      <c r="AT23" s="148">
        <f t="shared" si="16"/>
        <v>25</v>
      </c>
      <c r="AU23" s="148">
        <f t="shared" si="16"/>
        <v>25</v>
      </c>
      <c r="AV23" s="148">
        <f t="shared" si="16"/>
        <v>25</v>
      </c>
      <c r="AW23" s="148">
        <f t="shared" si="16"/>
        <v>25</v>
      </c>
      <c r="AX23" s="240">
        <f t="shared" si="16"/>
        <v>25</v>
      </c>
      <c r="AY23" s="148">
        <f t="shared" si="16"/>
        <v>25</v>
      </c>
      <c r="AZ23" s="148">
        <f t="shared" si="16"/>
        <v>25</v>
      </c>
      <c r="BA23" s="148">
        <f t="shared" si="16"/>
        <v>25</v>
      </c>
      <c r="BB23" s="148">
        <f t="shared" si="16"/>
        <v>25</v>
      </c>
      <c r="BC23" s="148">
        <f t="shared" si="16"/>
        <v>25</v>
      </c>
      <c r="BD23" s="148">
        <f t="shared" si="16"/>
        <v>25</v>
      </c>
      <c r="BE23" s="148">
        <f t="shared" si="16"/>
        <v>25</v>
      </c>
      <c r="BF23" s="148">
        <f t="shared" si="16"/>
        <v>25</v>
      </c>
      <c r="BG23" s="148">
        <f t="shared" si="16"/>
        <v>25</v>
      </c>
      <c r="BH23" s="240">
        <f t="shared" si="16"/>
        <v>25</v>
      </c>
      <c r="BI23" s="265" t="s">
        <v>173</v>
      </c>
      <c r="BK23" s="21"/>
      <c r="BL23" s="21"/>
      <c r="BM23" s="21"/>
      <c r="BN23" s="21"/>
      <c r="BO23" s="21"/>
      <c r="BQ23" s="22"/>
    </row>
    <row r="24" spans="2:69" ht="19.5" customHeight="1">
      <c r="B24" s="167" t="s">
        <v>148</v>
      </c>
      <c r="C24" s="265" t="s">
        <v>174</v>
      </c>
      <c r="D24" s="233" t="s">
        <v>157</v>
      </c>
      <c r="E24" s="234"/>
      <c r="F24" s="161" t="s">
        <v>0</v>
      </c>
      <c r="G24" s="156"/>
      <c r="H24" s="162">
        <f>H22*H20+IF(H20&gt;0,-H23,0)</f>
        <v>-574.0434782608695</v>
      </c>
      <c r="I24" s="181">
        <f aca="true" t="shared" si="17" ref="I24:BH24">I22*I20+IF(I20&gt;0,-I23,0)</f>
        <v>-663.0434782608696</v>
      </c>
      <c r="J24" s="162">
        <f t="shared" si="17"/>
        <v>519.4202684216694</v>
      </c>
      <c r="K24" s="162">
        <f t="shared" si="17"/>
        <v>436.2318763161402</v>
      </c>
      <c r="L24" s="162">
        <f t="shared" si="17"/>
        <v>379.1563994401604</v>
      </c>
      <c r="M24" s="162">
        <f t="shared" si="17"/>
        <v>118.11624751011581</v>
      </c>
      <c r="N24" s="162">
        <f t="shared" si="17"/>
        <v>30.367071535381825</v>
      </c>
      <c r="O24" s="162">
        <f t="shared" si="17"/>
        <v>130.53809828315636</v>
      </c>
      <c r="P24" s="162">
        <f t="shared" si="17"/>
        <v>204.44265965548308</v>
      </c>
      <c r="Q24" s="162">
        <f t="shared" si="17"/>
        <v>261.1556667756551</v>
      </c>
      <c r="R24" s="162">
        <f t="shared" si="17"/>
        <v>305.9693316800415</v>
      </c>
      <c r="S24" s="162">
        <f t="shared" si="17"/>
        <v>341.8283038915087</v>
      </c>
      <c r="T24" s="162">
        <f t="shared" si="17"/>
        <v>369.60216901812703</v>
      </c>
      <c r="U24" s="162">
        <f t="shared" si="17"/>
        <v>388.75901454115177</v>
      </c>
      <c r="V24" s="162">
        <f t="shared" si="17"/>
        <v>399.9551182005764</v>
      </c>
      <c r="W24" s="162">
        <f t="shared" si="17"/>
        <v>405.8892040852093</v>
      </c>
      <c r="X24" s="162">
        <f t="shared" si="17"/>
        <v>409.0888249941101</v>
      </c>
      <c r="Y24" s="162">
        <f t="shared" si="17"/>
        <v>410.9775584169984</v>
      </c>
      <c r="Z24" s="162">
        <f t="shared" si="17"/>
        <v>412.2196377041737</v>
      </c>
      <c r="AA24" s="162">
        <f t="shared" si="17"/>
        <v>413.11736993468105</v>
      </c>
      <c r="AB24" s="162">
        <f t="shared" si="17"/>
        <v>413.81451792303113</v>
      </c>
      <c r="AC24" s="162">
        <f t="shared" si="17"/>
        <v>414.3842679547866</v>
      </c>
      <c r="AD24" s="162">
        <f t="shared" si="17"/>
        <v>414.86673683912466</v>
      </c>
      <c r="AE24" s="162">
        <f t="shared" si="17"/>
        <v>415.28555837886347</v>
      </c>
      <c r="AF24" s="162">
        <f t="shared" si="17"/>
        <v>415.6556155532507</v>
      </c>
      <c r="AG24" s="162">
        <f t="shared" si="17"/>
        <v>415.9868541704433</v>
      </c>
      <c r="AH24" s="162">
        <f t="shared" si="17"/>
        <v>416.28627096393</v>
      </c>
      <c r="AI24" s="162">
        <f t="shared" si="17"/>
        <v>416.55900613121753</v>
      </c>
      <c r="AJ24" s="162">
        <f t="shared" si="17"/>
        <v>416.80897420771964</v>
      </c>
      <c r="AK24" s="162">
        <f t="shared" si="17"/>
        <v>417.0392455504164</v>
      </c>
      <c r="AL24" s="162">
        <f t="shared" si="17"/>
        <v>417.25228706225954</v>
      </c>
      <c r="AM24" s="162">
        <f t="shared" si="17"/>
        <v>417.4501201466929</v>
      </c>
      <c r="AN24" s="162">
        <f t="shared" si="17"/>
        <v>417.63442809579647</v>
      </c>
      <c r="AO24" s="162">
        <f t="shared" si="17"/>
        <v>417.8066314692063</v>
      </c>
      <c r="AP24" s="162">
        <f t="shared" si="17"/>
        <v>417.96794253364806</v>
      </c>
      <c r="AQ24" s="162">
        <f t="shared" si="17"/>
        <v>418.119405583775</v>
      </c>
      <c r="AR24" s="162">
        <f t="shared" si="17"/>
        <v>418.26192747594064</v>
      </c>
      <c r="AS24" s="162">
        <f t="shared" si="17"/>
        <v>418.3963012045281</v>
      </c>
      <c r="AT24" s="162">
        <f t="shared" si="17"/>
        <v>418.5232244183831</v>
      </c>
      <c r="AU24" s="162">
        <f t="shared" si="17"/>
        <v>418.64331418114614</v>
      </c>
      <c r="AV24" s="162">
        <f t="shared" si="17"/>
        <v>418.75711889160397</v>
      </c>
      <c r="AW24" s="162">
        <f t="shared" si="17"/>
        <v>418.8651280211539</v>
      </c>
      <c r="AX24" s="242">
        <f t="shared" si="17"/>
        <v>418.9677801486506</v>
      </c>
      <c r="AY24" s="162">
        <f t="shared" si="17"/>
        <v>419.7915299707887</v>
      </c>
      <c r="AZ24" s="162">
        <f t="shared" si="17"/>
        <v>420.3375421642255</v>
      </c>
      <c r="BA24" s="162">
        <f t="shared" si="17"/>
        <v>420.7263029581364</v>
      </c>
      <c r="BB24" s="162">
        <f t="shared" si="17"/>
        <v>421.01726900659344</v>
      </c>
      <c r="BC24" s="162">
        <f t="shared" si="17"/>
        <v>421.2432440387703</v>
      </c>
      <c r="BD24" s="162">
        <f t="shared" si="17"/>
        <v>421.4238255495515</v>
      </c>
      <c r="BE24" s="162">
        <f t="shared" si="17"/>
        <v>421.57144761238726</v>
      </c>
      <c r="BF24" s="162">
        <f t="shared" si="17"/>
        <v>421.6943814615387</v>
      </c>
      <c r="BG24" s="162">
        <f t="shared" si="17"/>
        <v>421.79834367005753</v>
      </c>
      <c r="BH24" s="242">
        <f t="shared" si="17"/>
        <v>421.8874120094512</v>
      </c>
      <c r="BI24" s="265" t="s">
        <v>174</v>
      </c>
      <c r="BK24" s="21"/>
      <c r="BL24" s="21"/>
      <c r="BM24" s="21"/>
      <c r="BN24" s="21"/>
      <c r="BO24" s="21"/>
      <c r="BQ24" s="22"/>
    </row>
    <row r="25" spans="2:69" ht="19.5" customHeight="1">
      <c r="B25" s="167" t="s">
        <v>104</v>
      </c>
      <c r="C25" s="265" t="s">
        <v>175</v>
      </c>
      <c r="D25" s="230" t="s">
        <v>158</v>
      </c>
      <c r="E25" s="155"/>
      <c r="F25" s="161" t="s">
        <v>5</v>
      </c>
      <c r="G25" s="144"/>
      <c r="H25" s="162">
        <f aca="true" t="shared" si="18" ref="H25:AM25">H24*A_sc</f>
        <v>-259691.15147694908</v>
      </c>
      <c r="I25" s="181">
        <f t="shared" si="18"/>
        <v>-299953.8029253559</v>
      </c>
      <c r="J25" s="162">
        <f t="shared" si="18"/>
        <v>234980.19351347833</v>
      </c>
      <c r="K25" s="162">
        <f t="shared" si="18"/>
        <v>197346.65153709272</v>
      </c>
      <c r="L25" s="162">
        <f t="shared" si="18"/>
        <v>171526.31410215815</v>
      </c>
      <c r="M25" s="162">
        <f t="shared" si="18"/>
        <v>53434.531504421786</v>
      </c>
      <c r="N25" s="162">
        <f t="shared" si="18"/>
        <v>13737.739513909142</v>
      </c>
      <c r="O25" s="162">
        <f t="shared" si="18"/>
        <v>59054.04440351228</v>
      </c>
      <c r="P25" s="162">
        <f t="shared" si="18"/>
        <v>92487.68030217946</v>
      </c>
      <c r="Q25" s="162">
        <f t="shared" si="18"/>
        <v>118144.04028274686</v>
      </c>
      <c r="R25" s="162">
        <f t="shared" si="18"/>
        <v>138417.26466669078</v>
      </c>
      <c r="S25" s="162">
        <f t="shared" si="18"/>
        <v>154639.48151442572</v>
      </c>
      <c r="T25" s="162">
        <f t="shared" si="18"/>
        <v>167204.08208710092</v>
      </c>
      <c r="U25" s="162">
        <f t="shared" si="18"/>
        <v>175870.43483029775</v>
      </c>
      <c r="V25" s="162">
        <f t="shared" si="18"/>
        <v>180935.43279905783</v>
      </c>
      <c r="W25" s="162">
        <f t="shared" si="18"/>
        <v>183619.95000847225</v>
      </c>
      <c r="X25" s="162">
        <f t="shared" si="18"/>
        <v>185067.42440647347</v>
      </c>
      <c r="Y25" s="162">
        <f t="shared" si="18"/>
        <v>185921.86727708817</v>
      </c>
      <c r="Z25" s="162">
        <f t="shared" si="18"/>
        <v>186483.77070867046</v>
      </c>
      <c r="AA25" s="162">
        <f t="shared" si="18"/>
        <v>186889.89520182685</v>
      </c>
      <c r="AB25" s="162">
        <f t="shared" si="18"/>
        <v>187205.27752163468</v>
      </c>
      <c r="AC25" s="162">
        <f t="shared" si="18"/>
        <v>187463.02636367164</v>
      </c>
      <c r="AD25" s="162">
        <f t="shared" si="18"/>
        <v>187681.29014484922</v>
      </c>
      <c r="AE25" s="162">
        <f t="shared" si="18"/>
        <v>187870.76054567605</v>
      </c>
      <c r="AF25" s="162">
        <f t="shared" si="18"/>
        <v>188038.17046734274</v>
      </c>
      <c r="AG25" s="162">
        <f t="shared" si="18"/>
        <v>188188.0192874582</v>
      </c>
      <c r="AH25" s="162">
        <f t="shared" si="18"/>
        <v>188323.47225368244</v>
      </c>
      <c r="AI25" s="162">
        <f t="shared" si="18"/>
        <v>188446.8547365838</v>
      </c>
      <c r="AJ25" s="162">
        <f t="shared" si="18"/>
        <v>188559.9376302628</v>
      </c>
      <c r="AK25" s="162">
        <f t="shared" si="18"/>
        <v>188664.1099314938</v>
      </c>
      <c r="AL25" s="162">
        <f t="shared" si="18"/>
        <v>188760.4876408801</v>
      </c>
      <c r="AM25" s="162">
        <f t="shared" si="18"/>
        <v>188849.98521979587</v>
      </c>
      <c r="AN25" s="162">
        <f aca="true" t="shared" si="19" ref="AN25:BH25">AN24*A_sc</f>
        <v>188933.36417163775</v>
      </c>
      <c r="AO25" s="162">
        <f t="shared" si="19"/>
        <v>189011.26714244497</v>
      </c>
      <c r="AP25" s="162">
        <f t="shared" si="19"/>
        <v>189084.24254876393</v>
      </c>
      <c r="AQ25" s="162">
        <f t="shared" si="19"/>
        <v>189152.76281836588</v>
      </c>
      <c r="AR25" s="162">
        <f t="shared" si="19"/>
        <v>189217.23820339996</v>
      </c>
      <c r="AS25" s="162">
        <f t="shared" si="19"/>
        <v>189278.02744607342</v>
      </c>
      <c r="AT25" s="162">
        <f t="shared" si="19"/>
        <v>189335.44615528866</v>
      </c>
      <c r="AU25" s="162">
        <f t="shared" si="19"/>
        <v>189389.77348406002</v>
      </c>
      <c r="AV25" s="162">
        <f t="shared" si="19"/>
        <v>189441.25752215384</v>
      </c>
      <c r="AW25" s="162">
        <f t="shared" si="19"/>
        <v>189490.11970121355</v>
      </c>
      <c r="AX25" s="242">
        <f t="shared" si="19"/>
        <v>189536.5584296387</v>
      </c>
      <c r="AY25" s="162">
        <f t="shared" si="19"/>
        <v>189909.2140697447</v>
      </c>
      <c r="AZ25" s="162">
        <f t="shared" si="19"/>
        <v>190156.2241667214</v>
      </c>
      <c r="BA25" s="162">
        <f t="shared" si="19"/>
        <v>190332.0954065196</v>
      </c>
      <c r="BB25" s="162">
        <f t="shared" si="19"/>
        <v>190463.72534575945</v>
      </c>
      <c r="BC25" s="162">
        <f t="shared" si="19"/>
        <v>190565.95404190078</v>
      </c>
      <c r="BD25" s="162">
        <f t="shared" si="19"/>
        <v>190647.64719276156</v>
      </c>
      <c r="BE25" s="162">
        <f t="shared" si="19"/>
        <v>190714.42984064977</v>
      </c>
      <c r="BF25" s="162">
        <f t="shared" si="19"/>
        <v>190770.04380379128</v>
      </c>
      <c r="BG25" s="162">
        <f t="shared" si="19"/>
        <v>190817.07519890816</v>
      </c>
      <c r="BH25" s="242">
        <f t="shared" si="19"/>
        <v>190857.3687663699</v>
      </c>
      <c r="BI25" s="265" t="s">
        <v>175</v>
      </c>
      <c r="BK25" s="15"/>
      <c r="BL25" s="15"/>
      <c r="BM25" s="15"/>
      <c r="BN25" s="15"/>
      <c r="BO25" s="15"/>
      <c r="BQ25" s="20"/>
    </row>
    <row r="26" spans="2:69" ht="19.5" customHeight="1">
      <c r="B26" s="167" t="s">
        <v>103</v>
      </c>
      <c r="C26" s="265" t="s">
        <v>176</v>
      </c>
      <c r="D26" s="231" t="s">
        <v>159</v>
      </c>
      <c r="E26" s="155"/>
      <c r="F26" s="161" t="s">
        <v>72</v>
      </c>
      <c r="G26" s="187"/>
      <c r="H26" s="187">
        <f aca="true" t="shared" si="20" ref="H26:AM26">SIGN(e_cu2*(d_tl/H14-1))*IF(ABS(e_cu2*(d_tl/H14-1))&gt;e_ud,e_ud,ABS(e_cu2*(d_tl/H14-1)))</f>
        <v>-0.025</v>
      </c>
      <c r="I26" s="181">
        <f>SIGN(e_cu2*(d_tl/I14-1))*IF(ABS(e_cu2*(d_tl/I14-1))&gt;e_ud,e_ud,ABS(e_cu2*(d_tl/I14-1)))</f>
        <v>0.025</v>
      </c>
      <c r="J26" s="187">
        <f t="shared" si="20"/>
        <v>0.025</v>
      </c>
      <c r="K26" s="187">
        <f t="shared" si="20"/>
        <v>0.025</v>
      </c>
      <c r="L26" s="187">
        <f t="shared" si="20"/>
        <v>0.025</v>
      </c>
      <c r="M26" s="187">
        <f t="shared" si="20"/>
        <v>0.025</v>
      </c>
      <c r="N26" s="187">
        <f t="shared" si="20"/>
        <v>0.025</v>
      </c>
      <c r="O26" s="187">
        <f t="shared" si="20"/>
        <v>0.025</v>
      </c>
      <c r="P26" s="187">
        <f t="shared" si="20"/>
        <v>0.023833332905758762</v>
      </c>
      <c r="Q26" s="187">
        <f t="shared" si="20"/>
        <v>0.02041666634893317</v>
      </c>
      <c r="R26" s="187">
        <f t="shared" si="20"/>
        <v>0.017759259015818107</v>
      </c>
      <c r="S26" s="187">
        <f t="shared" si="20"/>
        <v>0.015633333142308102</v>
      </c>
      <c r="T26" s="187">
        <f t="shared" si="20"/>
        <v>0.013893939241159949</v>
      </c>
      <c r="U26" s="187">
        <f t="shared" si="20"/>
        <v>0.01244444432034651</v>
      </c>
      <c r="V26" s="187">
        <f t="shared" si="20"/>
        <v>0.011217948615854683</v>
      </c>
      <c r="W26" s="187">
        <f t="shared" si="20"/>
        <v>0.010166666581780535</v>
      </c>
      <c r="X26" s="187">
        <f t="shared" si="20"/>
        <v>0.009255555484349016</v>
      </c>
      <c r="Y26" s="187">
        <f t="shared" si="20"/>
        <v>0.008458333273156532</v>
      </c>
      <c r="Z26" s="187">
        <f t="shared" si="20"/>
        <v>0.007754901909611128</v>
      </c>
      <c r="AA26" s="187">
        <f t="shared" si="20"/>
        <v>0.0071296295858862945</v>
      </c>
      <c r="AB26" s="187">
        <f t="shared" si="20"/>
        <v>0.0065701754010435</v>
      </c>
      <c r="AC26" s="187">
        <f t="shared" si="20"/>
        <v>0.0060666666343156175</v>
      </c>
      <c r="AD26" s="187">
        <f t="shared" si="20"/>
        <v>0.0056111110831650575</v>
      </c>
      <c r="AE26" s="187">
        <f t="shared" si="20"/>
        <v>0.005196969672779617</v>
      </c>
      <c r="AF26" s="187">
        <f t="shared" si="20"/>
        <v>0.004818840558742681</v>
      </c>
      <c r="AG26" s="187">
        <f t="shared" si="20"/>
        <v>0.004472222204035454</v>
      </c>
      <c r="AH26" s="187">
        <f t="shared" si="20"/>
        <v>0.004153333317558345</v>
      </c>
      <c r="AI26" s="187">
        <f t="shared" si="20"/>
        <v>0.0038589743453010497</v>
      </c>
      <c r="AJ26" s="187">
        <f t="shared" si="20"/>
        <v>0.003586419741252473</v>
      </c>
      <c r="AK26" s="187">
        <f t="shared" si="20"/>
        <v>0.0033333333231155564</v>
      </c>
      <c r="AL26" s="187">
        <f t="shared" si="20"/>
        <v>0.003097701140632747</v>
      </c>
      <c r="AM26" s="187">
        <f t="shared" si="20"/>
        <v>0.0028777777702463157</v>
      </c>
      <c r="AN26" s="187">
        <f aca="true" t="shared" si="21" ref="AN26:BH26">SIGN(e_cu2*(d_tl/AN14-1))*IF(ABS(e_cu2*(d_tl/AN14-1))&gt;e_ud,e_ud,ABS(e_cu2*(d_tl/AN14-1)))</f>
        <v>0.0026720430043405074</v>
      </c>
      <c r="AO26" s="187">
        <f t="shared" si="21"/>
        <v>0.0024791666612507535</v>
      </c>
      <c r="AP26" s="187">
        <f t="shared" si="21"/>
        <v>0.002297979793452998</v>
      </c>
      <c r="AQ26" s="187">
        <f t="shared" si="21"/>
        <v>0.0021274509766607773</v>
      </c>
      <c r="AR26" s="187">
        <f t="shared" si="21"/>
        <v>0.0019666666636484922</v>
      </c>
      <c r="AS26" s="187">
        <f t="shared" si="21"/>
        <v>0.0018148148124374596</v>
      </c>
      <c r="AT26" s="187">
        <f t="shared" si="21"/>
        <v>0.0016711711693707025</v>
      </c>
      <c r="AU26" s="187">
        <f t="shared" si="21"/>
        <v>0.001535087718018031</v>
      </c>
      <c r="AV26" s="187">
        <f t="shared" si="21"/>
        <v>0.0014059829051726372</v>
      </c>
      <c r="AW26" s="187">
        <f t="shared" si="21"/>
        <v>0.0012833333329482029</v>
      </c>
      <c r="AX26" s="241">
        <f t="shared" si="21"/>
        <v>0.0011666666666666663</v>
      </c>
      <c r="AY26" s="187">
        <f t="shared" si="21"/>
        <v>0.00022762985595809637</v>
      </c>
      <c r="AZ26" s="187">
        <f t="shared" si="21"/>
        <v>-0.00039680232558139607</v>
      </c>
      <c r="BA26" s="187">
        <f t="shared" si="21"/>
        <v>-0.0008420479302832248</v>
      </c>
      <c r="BB26" s="187">
        <f t="shared" si="21"/>
        <v>-0.0011755579749591729</v>
      </c>
      <c r="BC26" s="187">
        <f t="shared" si="21"/>
        <v>-0.0014347037484885128</v>
      </c>
      <c r="BD26" s="187">
        <f t="shared" si="21"/>
        <v>-0.001641862489120975</v>
      </c>
      <c r="BE26" s="187">
        <f t="shared" si="21"/>
        <v>-0.0018112517302748667</v>
      </c>
      <c r="BF26" s="187">
        <f t="shared" si="21"/>
        <v>-0.0019523378035520118</v>
      </c>
      <c r="BG26" s="187">
        <f t="shared" si="21"/>
        <v>-0.002071667502926911</v>
      </c>
      <c r="BH26" s="241">
        <f t="shared" si="21"/>
        <v>-0.0021739130434782613</v>
      </c>
      <c r="BI26" s="265" t="s">
        <v>176</v>
      </c>
      <c r="BK26" s="21"/>
      <c r="BL26" s="21"/>
      <c r="BM26" s="21"/>
      <c r="BN26" s="21"/>
      <c r="BO26" s="21"/>
      <c r="BQ26" s="22"/>
    </row>
    <row r="27" spans="2:69" ht="19.5" customHeight="1">
      <c r="B27" s="167" t="s">
        <v>184</v>
      </c>
      <c r="C27" s="265" t="s">
        <v>186</v>
      </c>
      <c r="D27" s="345" t="s">
        <v>185</v>
      </c>
      <c r="E27" s="346"/>
      <c r="F27" s="161" t="s">
        <v>0</v>
      </c>
      <c r="G27" s="156"/>
      <c r="H27" s="162">
        <f aca="true" t="shared" si="22" ref="H27:AM27">(k_s+(1-k_s)/(1+(H26/e_yd)^R_s)^(1/R_s))*E_s</f>
        <v>26521.739130434784</v>
      </c>
      <c r="I27" s="181">
        <f t="shared" si="22"/>
        <v>26521.739130434784</v>
      </c>
      <c r="J27" s="162">
        <f t="shared" si="22"/>
        <v>26521.739130434784</v>
      </c>
      <c r="K27" s="162">
        <f t="shared" si="22"/>
        <v>26521.739130434784</v>
      </c>
      <c r="L27" s="162">
        <f t="shared" si="22"/>
        <v>26521.739130434784</v>
      </c>
      <c r="M27" s="162">
        <f t="shared" si="22"/>
        <v>26521.739130434784</v>
      </c>
      <c r="N27" s="162">
        <f t="shared" si="22"/>
        <v>26521.739130434784</v>
      </c>
      <c r="O27" s="162">
        <f t="shared" si="22"/>
        <v>26521.739130434784</v>
      </c>
      <c r="P27" s="162">
        <f t="shared" si="22"/>
        <v>27330.49590227758</v>
      </c>
      <c r="Q27" s="162">
        <f t="shared" si="22"/>
        <v>30230.70129088201</v>
      </c>
      <c r="R27" s="162">
        <f t="shared" si="22"/>
        <v>33257.92297375545</v>
      </c>
      <c r="S27" s="162">
        <f t="shared" si="22"/>
        <v>36420.69189602697</v>
      </c>
      <c r="T27" s="162">
        <f t="shared" si="22"/>
        <v>39728.320463447366</v>
      </c>
      <c r="U27" s="162">
        <f t="shared" si="22"/>
        <v>43190.994119805626</v>
      </c>
      <c r="V27" s="162">
        <f t="shared" si="22"/>
        <v>46819.8761114935</v>
      </c>
      <c r="W27" s="162">
        <f t="shared" si="22"/>
        <v>50627.22770913674</v>
      </c>
      <c r="X27" s="162">
        <f t="shared" si="22"/>
        <v>54626.54661401073</v>
      </c>
      <c r="Y27" s="162">
        <f t="shared" si="22"/>
        <v>58832.72684131241</v>
      </c>
      <c r="Z27" s="162">
        <f t="shared" si="22"/>
        <v>63262.24407155605</v>
      </c>
      <c r="AA27" s="162">
        <f t="shared" si="22"/>
        <v>67933.37133215554</v>
      </c>
      <c r="AB27" s="162">
        <f t="shared" si="22"/>
        <v>72866.43096166964</v>
      </c>
      <c r="AC27" s="162">
        <f t="shared" si="22"/>
        <v>78084.09018213667</v>
      </c>
      <c r="AD27" s="162">
        <f t="shared" si="22"/>
        <v>83611.70934223972</v>
      </c>
      <c r="AE27" s="162">
        <f t="shared" si="22"/>
        <v>89477.75409747513</v>
      </c>
      <c r="AF27" s="162">
        <f t="shared" si="22"/>
        <v>95714.28556482609</v>
      </c>
      <c r="AG27" s="162">
        <f t="shared" si="22"/>
        <v>102357.54580462906</v>
      </c>
      <c r="AH27" s="162">
        <f t="shared" si="22"/>
        <v>109448.6590626287</v>
      </c>
      <c r="AI27" s="162">
        <f t="shared" si="22"/>
        <v>117034.46753563023</v>
      </c>
      <c r="AJ27" s="162">
        <f t="shared" si="22"/>
        <v>125168.49173654261</v>
      </c>
      <c r="AK27" s="162">
        <f t="shared" si="22"/>
        <v>133911.8434985733</v>
      </c>
      <c r="AL27" s="162">
        <f t="shared" si="22"/>
        <v>143333.1165132843</v>
      </c>
      <c r="AM27" s="162">
        <f t="shared" si="22"/>
        <v>153502.3936813255</v>
      </c>
      <c r="AN27" s="162">
        <f aca="true" t="shared" si="23" ref="AN27:BH27">(k_s+(1-k_s)/(1+(AN26/e_yd)^R_s)^(1/R_s))*E_s</f>
        <v>164455.93188653188</v>
      </c>
      <c r="AO27" s="162">
        <f t="shared" si="23"/>
        <v>176025.81104357325</v>
      </c>
      <c r="AP27" s="162">
        <f t="shared" si="23"/>
        <v>187200.26031463023</v>
      </c>
      <c r="AQ27" s="162">
        <f t="shared" si="23"/>
        <v>195306.45074891738</v>
      </c>
      <c r="AR27" s="162">
        <f t="shared" si="23"/>
        <v>198802.24249642022</v>
      </c>
      <c r="AS27" s="162">
        <f t="shared" si="23"/>
        <v>199746.81780549316</v>
      </c>
      <c r="AT27" s="162">
        <f t="shared" si="23"/>
        <v>199950.78278238917</v>
      </c>
      <c r="AU27" s="162">
        <f t="shared" si="23"/>
        <v>199990.97748500484</v>
      </c>
      <c r="AV27" s="162">
        <f t="shared" si="23"/>
        <v>199998.44244402924</v>
      </c>
      <c r="AW27" s="162">
        <f t="shared" si="23"/>
        <v>199999.74900578713</v>
      </c>
      <c r="AX27" s="242">
        <f t="shared" si="23"/>
        <v>199999.96269086876</v>
      </c>
      <c r="AY27" s="162">
        <f t="shared" si="23"/>
        <v>200000</v>
      </c>
      <c r="AZ27" s="162">
        <f t="shared" si="23"/>
        <v>200000</v>
      </c>
      <c r="BA27" s="162">
        <f t="shared" si="23"/>
        <v>199999.9999450944</v>
      </c>
      <c r="BB27" s="162">
        <f t="shared" si="23"/>
        <v>199999.95657295902</v>
      </c>
      <c r="BC27" s="162">
        <f t="shared" si="23"/>
        <v>199997.66617179298</v>
      </c>
      <c r="BD27" s="162">
        <f t="shared" si="23"/>
        <v>199965.42312980306</v>
      </c>
      <c r="BE27" s="162">
        <f t="shared" si="23"/>
        <v>199756.44589118843</v>
      </c>
      <c r="BF27" s="162">
        <f t="shared" si="23"/>
        <v>198956.14925380488</v>
      </c>
      <c r="BG27" s="162">
        <f t="shared" si="23"/>
        <v>196954.18197639482</v>
      </c>
      <c r="BH27" s="242">
        <f t="shared" si="23"/>
        <v>193527.90249572066</v>
      </c>
      <c r="BI27" s="265" t="s">
        <v>186</v>
      </c>
      <c r="BK27" s="21"/>
      <c r="BL27" s="21"/>
      <c r="BM27" s="21"/>
      <c r="BN27" s="21"/>
      <c r="BO27" s="21"/>
      <c r="BQ27" s="22"/>
    </row>
    <row r="28" spans="2:69" ht="19.5" customHeight="1">
      <c r="B28" s="167" t="s">
        <v>101</v>
      </c>
      <c r="C28" s="265" t="s">
        <v>177</v>
      </c>
      <c r="D28" s="233" t="s">
        <v>187</v>
      </c>
      <c r="E28" s="234"/>
      <c r="F28" s="161" t="s">
        <v>0</v>
      </c>
      <c r="G28" s="234"/>
      <c r="H28" s="163">
        <f>H27*H26</f>
        <v>-663.0434782608696</v>
      </c>
      <c r="I28" s="181">
        <f aca="true" t="shared" si="24" ref="I28:BH28">I27*I26</f>
        <v>663.0434782608696</v>
      </c>
      <c r="J28" s="163">
        <f t="shared" si="24"/>
        <v>663.0434782608696</v>
      </c>
      <c r="K28" s="163">
        <f t="shared" si="24"/>
        <v>663.0434782608696</v>
      </c>
      <c r="L28" s="163">
        <f t="shared" si="24"/>
        <v>663.0434782608696</v>
      </c>
      <c r="M28" s="163">
        <f t="shared" si="24"/>
        <v>663.0434782608696</v>
      </c>
      <c r="N28" s="163">
        <f t="shared" si="24"/>
        <v>663.0434782608696</v>
      </c>
      <c r="O28" s="163">
        <f t="shared" si="24"/>
        <v>663.0434782608696</v>
      </c>
      <c r="P28" s="163">
        <f t="shared" si="24"/>
        <v>651.3768073184573</v>
      </c>
      <c r="Q28" s="163">
        <f t="shared" si="24"/>
        <v>617.2101417502013</v>
      </c>
      <c r="R28" s="163">
        <f t="shared" si="24"/>
        <v>590.6360684190506</v>
      </c>
      <c r="S28" s="163">
        <f t="shared" si="24"/>
        <v>569.3768096839506</v>
      </c>
      <c r="T28" s="163">
        <f t="shared" si="24"/>
        <v>551.9828706724692</v>
      </c>
      <c r="U28" s="163">
        <f t="shared" si="24"/>
        <v>537.4879214643347</v>
      </c>
      <c r="V28" s="163">
        <f t="shared" si="24"/>
        <v>525.2229644194163</v>
      </c>
      <c r="W28" s="163">
        <f t="shared" si="24"/>
        <v>514.710144078674</v>
      </c>
      <c r="X28" s="163">
        <f t="shared" si="24"/>
        <v>505.5990331043542</v>
      </c>
      <c r="Y28" s="163">
        <f t="shared" si="24"/>
        <v>497.62681099240217</v>
      </c>
      <c r="Z28" s="163">
        <f t="shared" si="24"/>
        <v>490.5924973567953</v>
      </c>
      <c r="AA28" s="163">
        <f t="shared" si="24"/>
        <v>484.339774118736</v>
      </c>
      <c r="AB28" s="163">
        <f t="shared" si="24"/>
        <v>478.7452322661963</v>
      </c>
      <c r="AC28" s="163">
        <f t="shared" si="24"/>
        <v>473.71014457886025</v>
      </c>
      <c r="AD28" s="163">
        <f t="shared" si="24"/>
        <v>469.15458897261664</v>
      </c>
      <c r="AE28" s="163">
        <f t="shared" si="24"/>
        <v>465.01317443301036</v>
      </c>
      <c r="AF28" s="163">
        <f t="shared" si="24"/>
        <v>461.2318813308631</v>
      </c>
      <c r="AG28" s="163">
        <f t="shared" si="24"/>
        <v>457.7656890980381</v>
      </c>
      <c r="AH28" s="163">
        <f t="shared" si="24"/>
        <v>454.5767622468999</v>
      </c>
      <c r="AI28" s="163">
        <f t="shared" si="24"/>
        <v>451.63300773596563</v>
      </c>
      <c r="AJ28" s="163">
        <f t="shared" si="24"/>
        <v>448.90674974673345</v>
      </c>
      <c r="AK28" s="163">
        <f t="shared" si="24"/>
        <v>446.37281029362964</v>
      </c>
      <c r="AL28" s="163">
        <f t="shared" si="24"/>
        <v>444.00315851364724</v>
      </c>
      <c r="AM28" s="163">
        <f t="shared" si="24"/>
        <v>441.74577621571706</v>
      </c>
      <c r="AN28" s="163">
        <f t="shared" si="24"/>
        <v>439.43332231970646</v>
      </c>
      <c r="AO28" s="163">
        <f t="shared" si="24"/>
        <v>436.3973222588515</v>
      </c>
      <c r="AP28" s="163">
        <f t="shared" si="24"/>
        <v>430.18241553216143</v>
      </c>
      <c r="AQ28" s="163">
        <f t="shared" si="24"/>
        <v>415.5048993939343</v>
      </c>
      <c r="AR28" s="163">
        <f t="shared" si="24"/>
        <v>390.97774297627325</v>
      </c>
      <c r="AS28" s="163">
        <f t="shared" si="24"/>
        <v>362.5034836906555</v>
      </c>
      <c r="AT28" s="163">
        <f t="shared" si="24"/>
        <v>334.15198347903265</v>
      </c>
      <c r="AU28" s="163">
        <f t="shared" si="24"/>
        <v>307.0036932516515</v>
      </c>
      <c r="AV28" s="163">
        <f t="shared" si="24"/>
        <v>281.1943911374587</v>
      </c>
      <c r="AW28" s="163">
        <f t="shared" si="24"/>
        <v>256.6663444804008</v>
      </c>
      <c r="AX28" s="243">
        <f t="shared" si="24"/>
        <v>233.33328980601348</v>
      </c>
      <c r="AY28" s="163">
        <f t="shared" si="24"/>
        <v>45.52597119161927</v>
      </c>
      <c r="AZ28" s="163">
        <f t="shared" si="24"/>
        <v>-79.36046511627922</v>
      </c>
      <c r="BA28" s="163">
        <f t="shared" si="24"/>
        <v>-168.4095860104118</v>
      </c>
      <c r="BB28" s="163">
        <f t="shared" si="24"/>
        <v>-235.11154394083024</v>
      </c>
      <c r="BC28" s="163">
        <f t="shared" si="24"/>
        <v>-286.93740134562563</v>
      </c>
      <c r="BD28" s="163">
        <f t="shared" si="24"/>
        <v>-328.31572735802746</v>
      </c>
      <c r="BE28" s="163">
        <f t="shared" si="24"/>
        <v>-361.8092082539728</v>
      </c>
      <c r="BF28" s="163">
        <f t="shared" si="24"/>
        <v>-388.42961143733964</v>
      </c>
      <c r="BG28" s="163">
        <f t="shared" si="24"/>
        <v>-408.0235783660503</v>
      </c>
      <c r="BH28" s="243">
        <f t="shared" si="24"/>
        <v>-420.7128315124363</v>
      </c>
      <c r="BI28" s="265" t="s">
        <v>177</v>
      </c>
      <c r="BK28" s="14"/>
      <c r="BL28" s="14"/>
      <c r="BM28" s="14"/>
      <c r="BN28" s="14"/>
      <c r="BO28" s="14"/>
      <c r="BQ28" s="23"/>
    </row>
    <row r="29" spans="2:69" ht="19.5" customHeight="1">
      <c r="B29" s="167" t="s">
        <v>105</v>
      </c>
      <c r="C29" s="265" t="s">
        <v>178</v>
      </c>
      <c r="D29" s="230" t="s">
        <v>160</v>
      </c>
      <c r="E29" s="155"/>
      <c r="F29" s="161" t="s">
        <v>5</v>
      </c>
      <c r="G29" s="144"/>
      <c r="H29" s="162">
        <f aca="true" t="shared" si="25" ref="H29:AM29">H28*A_st</f>
        <v>-299953.8029253559</v>
      </c>
      <c r="I29" s="239">
        <f t="shared" si="25"/>
        <v>299953.8029253559</v>
      </c>
      <c r="J29" s="162">
        <f t="shared" si="25"/>
        <v>299953.8029253559</v>
      </c>
      <c r="K29" s="162">
        <f t="shared" si="25"/>
        <v>299953.8029253559</v>
      </c>
      <c r="L29" s="162">
        <f t="shared" si="25"/>
        <v>299953.8029253559</v>
      </c>
      <c r="M29" s="162">
        <f t="shared" si="25"/>
        <v>299953.8029253559</v>
      </c>
      <c r="N29" s="162">
        <f t="shared" si="25"/>
        <v>299953.8029253559</v>
      </c>
      <c r="O29" s="162">
        <f t="shared" si="25"/>
        <v>299953.8029253559</v>
      </c>
      <c r="P29" s="162">
        <f t="shared" si="25"/>
        <v>294675.9253330233</v>
      </c>
      <c r="Q29" s="162">
        <f t="shared" si="25"/>
        <v>279219.2899742708</v>
      </c>
      <c r="R29" s="162">
        <f t="shared" si="25"/>
        <v>267197.46242262446</v>
      </c>
      <c r="S29" s="162">
        <f t="shared" si="25"/>
        <v>257580.00034955898</v>
      </c>
      <c r="T29" s="162">
        <f t="shared" si="25"/>
        <v>249711.1677233329</v>
      </c>
      <c r="U29" s="162">
        <f t="shared" si="25"/>
        <v>243153.80718704662</v>
      </c>
      <c r="V29" s="162">
        <f t="shared" si="25"/>
        <v>237605.27133840357</v>
      </c>
      <c r="W29" s="162">
        <f t="shared" si="25"/>
        <v>232849.38346066172</v>
      </c>
      <c r="X29" s="162">
        <f t="shared" si="25"/>
        <v>228727.6139610348</v>
      </c>
      <c r="Y29" s="162">
        <f t="shared" si="25"/>
        <v>225121.0656445988</v>
      </c>
      <c r="Z29" s="162">
        <f t="shared" si="25"/>
        <v>221938.81712674245</v>
      </c>
      <c r="AA29" s="162">
        <f t="shared" si="25"/>
        <v>219110.15177463755</v>
      </c>
      <c r="AB29" s="162">
        <f t="shared" si="25"/>
        <v>216579.24066652148</v>
      </c>
      <c r="AC29" s="162">
        <f t="shared" si="25"/>
        <v>214301.42066014648</v>
      </c>
      <c r="AD29" s="162">
        <f t="shared" si="25"/>
        <v>212240.53585646083</v>
      </c>
      <c r="AE29" s="162">
        <f t="shared" si="25"/>
        <v>210367.00405745488</v>
      </c>
      <c r="AF29" s="162">
        <f t="shared" si="25"/>
        <v>208656.38735862318</v>
      </c>
      <c r="AG29" s="162">
        <f t="shared" si="25"/>
        <v>207088.31893476465</v>
      </c>
      <c r="AH29" s="162">
        <f t="shared" si="25"/>
        <v>205645.68241451922</v>
      </c>
      <c r="AI29" s="162">
        <f t="shared" si="25"/>
        <v>204313.95924796394</v>
      </c>
      <c r="AJ29" s="162">
        <f t="shared" si="25"/>
        <v>203080.62918977416</v>
      </c>
      <c r="AK29" s="162">
        <f t="shared" si="25"/>
        <v>201934.30198762042</v>
      </c>
      <c r="AL29" s="162">
        <f t="shared" si="25"/>
        <v>200862.29677782796</v>
      </c>
      <c r="AM29" s="162">
        <f t="shared" si="25"/>
        <v>199841.08108516093</v>
      </c>
      <c r="AN29" s="162">
        <f aca="true" t="shared" si="26" ref="AN29:BH29">AN28*A_st</f>
        <v>198794.95158846895</v>
      </c>
      <c r="AO29" s="162">
        <f t="shared" si="26"/>
        <v>197421.49751827182</v>
      </c>
      <c r="AP29" s="162">
        <f t="shared" si="26"/>
        <v>194609.9399528664</v>
      </c>
      <c r="AQ29" s="162">
        <f t="shared" si="26"/>
        <v>187969.9880831832</v>
      </c>
      <c r="AR29" s="162">
        <f t="shared" si="26"/>
        <v>176874.16392739848</v>
      </c>
      <c r="AS29" s="162">
        <f t="shared" si="26"/>
        <v>163992.71250191098</v>
      </c>
      <c r="AT29" s="162">
        <f t="shared" si="26"/>
        <v>151166.79597314692</v>
      </c>
      <c r="AU29" s="162">
        <f t="shared" si="26"/>
        <v>138885.19881758248</v>
      </c>
      <c r="AV29" s="162">
        <f t="shared" si="26"/>
        <v>127209.3456136457</v>
      </c>
      <c r="AW29" s="162">
        <f t="shared" si="26"/>
        <v>116113.1187230459</v>
      </c>
      <c r="AX29" s="242">
        <f t="shared" si="26"/>
        <v>105557.49346932146</v>
      </c>
      <c r="AY29" s="162">
        <f t="shared" si="26"/>
        <v>20595.46415661096</v>
      </c>
      <c r="AZ29" s="162">
        <f t="shared" si="26"/>
        <v>-35901.82860404714</v>
      </c>
      <c r="BA29" s="162">
        <f t="shared" si="26"/>
        <v>-76186.70182143476</v>
      </c>
      <c r="BB29" s="162">
        <f t="shared" si="26"/>
        <v>-106361.95668748792</v>
      </c>
      <c r="BC29" s="163">
        <f t="shared" si="26"/>
        <v>-129807.42222348915</v>
      </c>
      <c r="BD29" s="162">
        <f t="shared" si="26"/>
        <v>-148526.53590613947</v>
      </c>
      <c r="BE29" s="162">
        <f t="shared" si="26"/>
        <v>-163678.62969386217</v>
      </c>
      <c r="BF29" s="162">
        <f t="shared" si="26"/>
        <v>-175721.41637687292</v>
      </c>
      <c r="BG29" s="162">
        <f t="shared" si="26"/>
        <v>-184585.5181852132</v>
      </c>
      <c r="BH29" s="248">
        <f t="shared" si="26"/>
        <v>-190326.00106806197</v>
      </c>
      <c r="BI29" s="265" t="s">
        <v>178</v>
      </c>
      <c r="BK29" s="15"/>
      <c r="BL29" s="15"/>
      <c r="BM29" s="15"/>
      <c r="BN29" s="15"/>
      <c r="BO29" s="15"/>
      <c r="BQ29" s="20"/>
    </row>
    <row r="30" spans="1:69" s="105" customFormat="1" ht="19.5" customHeight="1">
      <c r="A30"/>
      <c r="B30" s="167" t="s">
        <v>106</v>
      </c>
      <c r="C30" s="265" t="s">
        <v>179</v>
      </c>
      <c r="D30" s="230" t="s">
        <v>161</v>
      </c>
      <c r="E30" s="164"/>
      <c r="F30" s="164" t="s">
        <v>77</v>
      </c>
      <c r="G30" s="165"/>
      <c r="H30" s="149"/>
      <c r="I30" s="181">
        <f aca="true" t="shared" si="27" ref="I30:AN30">F_cA*h*(17/42*I15-33/98*I15^2)</f>
        <v>2.2767857100765307</v>
      </c>
      <c r="J30" s="162">
        <f t="shared" si="27"/>
        <v>17001080.139697578</v>
      </c>
      <c r="K30" s="162">
        <f t="shared" si="27"/>
        <v>33519340.099407542</v>
      </c>
      <c r="L30" s="162">
        <f t="shared" si="27"/>
        <v>49554782.1559156</v>
      </c>
      <c r="M30" s="162">
        <f t="shared" si="27"/>
        <v>65107406.30922178</v>
      </c>
      <c r="N30" s="162">
        <f t="shared" si="27"/>
        <v>80177212.55932604</v>
      </c>
      <c r="O30" s="162">
        <f t="shared" si="27"/>
        <v>94764200.9062284</v>
      </c>
      <c r="P30" s="162">
        <f t="shared" si="27"/>
        <v>108868371.34992886</v>
      </c>
      <c r="Q30" s="162">
        <f t="shared" si="27"/>
        <v>122489723.89042741</v>
      </c>
      <c r="R30" s="162">
        <f t="shared" si="27"/>
        <v>135628258.52772406</v>
      </c>
      <c r="S30" s="162">
        <f t="shared" si="27"/>
        <v>148283975.2618188</v>
      </c>
      <c r="T30" s="162">
        <f t="shared" si="27"/>
        <v>160456874.09271166</v>
      </c>
      <c r="U30" s="162">
        <f t="shared" si="27"/>
        <v>172146955.0204026</v>
      </c>
      <c r="V30" s="162">
        <f t="shared" si="27"/>
        <v>183354218.04489163</v>
      </c>
      <c r="W30" s="162">
        <f t="shared" si="27"/>
        <v>194078663.16617876</v>
      </c>
      <c r="X30" s="162">
        <f t="shared" si="27"/>
        <v>204320290.384264</v>
      </c>
      <c r="Y30" s="162">
        <f t="shared" si="27"/>
        <v>214079099.6991473</v>
      </c>
      <c r="Z30" s="162">
        <f t="shared" si="27"/>
        <v>223355091.1108288</v>
      </c>
      <c r="AA30" s="162">
        <f t="shared" si="27"/>
        <v>232148264.6193083</v>
      </c>
      <c r="AB30" s="162">
        <f t="shared" si="27"/>
        <v>240458620.22458592</v>
      </c>
      <c r="AC30" s="162">
        <f t="shared" si="27"/>
        <v>248286157.9266616</v>
      </c>
      <c r="AD30" s="162">
        <f t="shared" si="27"/>
        <v>255630877.72553542</v>
      </c>
      <c r="AE30" s="162">
        <f t="shared" si="27"/>
        <v>262492779.62120736</v>
      </c>
      <c r="AF30" s="162">
        <f t="shared" si="27"/>
        <v>268871863.6136774</v>
      </c>
      <c r="AG30" s="162">
        <f t="shared" si="27"/>
        <v>274768129.7029455</v>
      </c>
      <c r="AH30" s="162">
        <f t="shared" si="27"/>
        <v>280181577.88901174</v>
      </c>
      <c r="AI30" s="162">
        <f t="shared" si="27"/>
        <v>285112208.17187595</v>
      </c>
      <c r="AJ30" s="162">
        <f t="shared" si="27"/>
        <v>289560020.5515384</v>
      </c>
      <c r="AK30" s="162">
        <f t="shared" si="27"/>
        <v>293525015.0279989</v>
      </c>
      <c r="AL30" s="162">
        <f t="shared" si="27"/>
        <v>297007191.6012575</v>
      </c>
      <c r="AM30" s="162">
        <f t="shared" si="27"/>
        <v>300006550.2713142</v>
      </c>
      <c r="AN30" s="162">
        <f t="shared" si="27"/>
        <v>302523091.038169</v>
      </c>
      <c r="AO30" s="162">
        <f aca="true" t="shared" si="28" ref="AO30:BH30">F_cA*h*(17/42*AO15-33/98*AO15^2)</f>
        <v>304556813.90182185</v>
      </c>
      <c r="AP30" s="162">
        <f t="shared" si="28"/>
        <v>306107718.8622728</v>
      </c>
      <c r="AQ30" s="162">
        <f t="shared" si="28"/>
        <v>307175805.9195219</v>
      </c>
      <c r="AR30" s="162">
        <f t="shared" si="28"/>
        <v>307761075.0735691</v>
      </c>
      <c r="AS30" s="162">
        <f t="shared" si="28"/>
        <v>307863526.3244144</v>
      </c>
      <c r="AT30" s="162">
        <f t="shared" si="28"/>
        <v>307483159.67205787</v>
      </c>
      <c r="AU30" s="162">
        <f t="shared" si="28"/>
        <v>306619975.1164992</v>
      </c>
      <c r="AV30" s="162">
        <f t="shared" si="28"/>
        <v>305273972.65773886</v>
      </c>
      <c r="AW30" s="162">
        <f t="shared" si="28"/>
        <v>303445152.29577655</v>
      </c>
      <c r="AX30" s="242">
        <f t="shared" si="28"/>
        <v>301133514.03061223</v>
      </c>
      <c r="AY30" s="162">
        <f t="shared" si="28"/>
        <v>249012001.26411256</v>
      </c>
      <c r="AZ30" s="162">
        <f t="shared" si="28"/>
        <v>145385327.00777146</v>
      </c>
      <c r="BA30" s="162">
        <f t="shared" si="28"/>
        <v>-9746508.738410348</v>
      </c>
      <c r="BB30" s="162">
        <f t="shared" si="28"/>
        <v>-216383505.97443387</v>
      </c>
      <c r="BC30" s="163">
        <f t="shared" si="28"/>
        <v>-474525664.70029783</v>
      </c>
      <c r="BD30" s="162">
        <f t="shared" si="28"/>
        <v>-784172984.9160036</v>
      </c>
      <c r="BE30" s="162">
        <f t="shared" si="28"/>
        <v>-1145325466.6215498</v>
      </c>
      <c r="BF30" s="162">
        <f t="shared" si="28"/>
        <v>-1557983109.8169377</v>
      </c>
      <c r="BG30" s="162">
        <f t="shared" si="28"/>
        <v>-2022145914.5021665</v>
      </c>
      <c r="BH30" s="248">
        <f t="shared" si="28"/>
        <v>-2537813880.677239</v>
      </c>
      <c r="BI30" s="265" t="s">
        <v>179</v>
      </c>
      <c r="BK30" s="146"/>
      <c r="BL30" s="146"/>
      <c r="BM30" s="146"/>
      <c r="BN30" s="146"/>
      <c r="BO30" s="146"/>
      <c r="BQ30" s="147"/>
    </row>
    <row r="31" spans="1:69" s="105" customFormat="1" ht="19.5" customHeight="1">
      <c r="A31"/>
      <c r="B31" s="167" t="s">
        <v>124</v>
      </c>
      <c r="C31" s="264" t="s">
        <v>180</v>
      </c>
      <c r="D31" s="168" t="s">
        <v>165</v>
      </c>
      <c r="E31" s="164"/>
      <c r="F31" s="164" t="s">
        <v>77</v>
      </c>
      <c r="G31" s="165"/>
      <c r="H31" s="162">
        <f aca="true" t="shared" si="29" ref="H31:AM31">-H17*h*(7+8*H15+9*H15^2)</f>
        <v>0</v>
      </c>
      <c r="I31" s="181">
        <f t="shared" si="29"/>
        <v>0</v>
      </c>
      <c r="J31" s="162">
        <f t="shared" si="29"/>
        <v>0</v>
      </c>
      <c r="K31" s="162">
        <f t="shared" si="29"/>
        <v>0</v>
      </c>
      <c r="L31" s="162">
        <f t="shared" si="29"/>
        <v>0</v>
      </c>
      <c r="M31" s="162">
        <f t="shared" si="29"/>
        <v>0</v>
      </c>
      <c r="N31" s="162">
        <f t="shared" si="29"/>
        <v>0</v>
      </c>
      <c r="O31" s="162">
        <f t="shared" si="29"/>
        <v>0</v>
      </c>
      <c r="P31" s="162">
        <f t="shared" si="29"/>
        <v>0</v>
      </c>
      <c r="Q31" s="162">
        <f t="shared" si="29"/>
        <v>0</v>
      </c>
      <c r="R31" s="162">
        <f t="shared" si="29"/>
        <v>0</v>
      </c>
      <c r="S31" s="162">
        <f t="shared" si="29"/>
        <v>0</v>
      </c>
      <c r="T31" s="162">
        <f t="shared" si="29"/>
        <v>0</v>
      </c>
      <c r="U31" s="162">
        <f t="shared" si="29"/>
        <v>0</v>
      </c>
      <c r="V31" s="162">
        <f t="shared" si="29"/>
        <v>0</v>
      </c>
      <c r="W31" s="162">
        <f t="shared" si="29"/>
        <v>0</v>
      </c>
      <c r="X31" s="162">
        <f t="shared" si="29"/>
        <v>0</v>
      </c>
      <c r="Y31" s="162">
        <f t="shared" si="29"/>
        <v>0</v>
      </c>
      <c r="Z31" s="162">
        <f t="shared" si="29"/>
        <v>0</v>
      </c>
      <c r="AA31" s="162">
        <f t="shared" si="29"/>
        <v>0</v>
      </c>
      <c r="AB31" s="162">
        <f t="shared" si="29"/>
        <v>0</v>
      </c>
      <c r="AC31" s="162">
        <f t="shared" si="29"/>
        <v>0</v>
      </c>
      <c r="AD31" s="162">
        <f t="shared" si="29"/>
        <v>0</v>
      </c>
      <c r="AE31" s="162">
        <f t="shared" si="29"/>
        <v>0</v>
      </c>
      <c r="AF31" s="162">
        <f t="shared" si="29"/>
        <v>0</v>
      </c>
      <c r="AG31" s="162">
        <f t="shared" si="29"/>
        <v>0</v>
      </c>
      <c r="AH31" s="162">
        <f t="shared" si="29"/>
        <v>0</v>
      </c>
      <c r="AI31" s="162">
        <f t="shared" si="29"/>
        <v>0</v>
      </c>
      <c r="AJ31" s="162">
        <f t="shared" si="29"/>
        <v>0</v>
      </c>
      <c r="AK31" s="162">
        <f t="shared" si="29"/>
        <v>0</v>
      </c>
      <c r="AL31" s="162">
        <f t="shared" si="29"/>
        <v>0</v>
      </c>
      <c r="AM31" s="162">
        <f t="shared" si="29"/>
        <v>0</v>
      </c>
      <c r="AN31" s="162">
        <f aca="true" t="shared" si="30" ref="AN31:BH31">-AN17*h*(7+8*AN15+9*AN15^2)</f>
        <v>0</v>
      </c>
      <c r="AO31" s="162">
        <f t="shared" si="30"/>
        <v>0</v>
      </c>
      <c r="AP31" s="162">
        <f t="shared" si="30"/>
        <v>0</v>
      </c>
      <c r="AQ31" s="162">
        <f t="shared" si="30"/>
        <v>0</v>
      </c>
      <c r="AR31" s="162">
        <f t="shared" si="30"/>
        <v>0</v>
      </c>
      <c r="AS31" s="162">
        <f t="shared" si="30"/>
        <v>0</v>
      </c>
      <c r="AT31" s="162">
        <f t="shared" si="30"/>
        <v>0</v>
      </c>
      <c r="AU31" s="162">
        <f t="shared" si="30"/>
        <v>0</v>
      </c>
      <c r="AV31" s="162">
        <f t="shared" si="30"/>
        <v>0</v>
      </c>
      <c r="AW31" s="162">
        <f t="shared" si="30"/>
        <v>0</v>
      </c>
      <c r="AX31" s="242">
        <f t="shared" si="30"/>
        <v>0</v>
      </c>
      <c r="AY31" s="162">
        <f t="shared" si="30"/>
        <v>0</v>
      </c>
      <c r="AZ31" s="162">
        <f t="shared" si="30"/>
        <v>-3034682.163896085</v>
      </c>
      <c r="BA31" s="162">
        <f t="shared" si="30"/>
        <v>-84070447.16009548</v>
      </c>
      <c r="BB31" s="162">
        <f t="shared" si="30"/>
        <v>-252369162.02417028</v>
      </c>
      <c r="BC31" s="163">
        <f t="shared" si="30"/>
        <v>-490721937.21065164</v>
      </c>
      <c r="BD31" s="162">
        <f t="shared" si="30"/>
        <v>-790560268.2829331</v>
      </c>
      <c r="BE31" s="162">
        <f t="shared" si="30"/>
        <v>-1147298630.5896914</v>
      </c>
      <c r="BF31" s="162">
        <f t="shared" si="30"/>
        <v>-1558342025.3204143</v>
      </c>
      <c r="BG31" s="162">
        <f t="shared" si="30"/>
        <v>-2022155597.8546174</v>
      </c>
      <c r="BH31" s="248">
        <f t="shared" si="30"/>
        <v>-2537798856.2668686</v>
      </c>
      <c r="BI31" s="264" t="s">
        <v>180</v>
      </c>
      <c r="BK31" s="146"/>
      <c r="BL31" s="146"/>
      <c r="BM31" s="146"/>
      <c r="BN31" s="146"/>
      <c r="BO31" s="146"/>
      <c r="BQ31" s="147"/>
    </row>
    <row r="32" spans="1:69" s="105" customFormat="1" ht="19.5" customHeight="1">
      <c r="A32"/>
      <c r="B32" s="167" t="s">
        <v>125</v>
      </c>
      <c r="C32" s="264" t="s">
        <v>181</v>
      </c>
      <c r="D32" s="168" t="s">
        <v>162</v>
      </c>
      <c r="E32" s="164"/>
      <c r="F32" s="164" t="s">
        <v>77</v>
      </c>
      <c r="G32" s="165"/>
      <c r="H32" s="162">
        <f>H30-H31</f>
        <v>0</v>
      </c>
      <c r="I32" s="181">
        <f aca="true" t="shared" si="31" ref="I32:BH32">I30-I31</f>
        <v>2.2767857100765307</v>
      </c>
      <c r="J32" s="162">
        <f t="shared" si="31"/>
        <v>17001080.139697578</v>
      </c>
      <c r="K32" s="162">
        <f t="shared" si="31"/>
        <v>33519340.099407542</v>
      </c>
      <c r="L32" s="162">
        <f t="shared" si="31"/>
        <v>49554782.1559156</v>
      </c>
      <c r="M32" s="162">
        <f t="shared" si="31"/>
        <v>65107406.30922178</v>
      </c>
      <c r="N32" s="162">
        <f t="shared" si="31"/>
        <v>80177212.55932604</v>
      </c>
      <c r="O32" s="162">
        <f t="shared" si="31"/>
        <v>94764200.9062284</v>
      </c>
      <c r="P32" s="162">
        <f t="shared" si="31"/>
        <v>108868371.34992886</v>
      </c>
      <c r="Q32" s="162">
        <f t="shared" si="31"/>
        <v>122489723.89042741</v>
      </c>
      <c r="R32" s="162">
        <f t="shared" si="31"/>
        <v>135628258.52772406</v>
      </c>
      <c r="S32" s="162">
        <f t="shared" si="31"/>
        <v>148283975.2618188</v>
      </c>
      <c r="T32" s="162">
        <f t="shared" si="31"/>
        <v>160456874.09271166</v>
      </c>
      <c r="U32" s="162">
        <f t="shared" si="31"/>
        <v>172146955.0204026</v>
      </c>
      <c r="V32" s="162">
        <f t="shared" si="31"/>
        <v>183354218.04489163</v>
      </c>
      <c r="W32" s="162">
        <f t="shared" si="31"/>
        <v>194078663.16617876</v>
      </c>
      <c r="X32" s="162">
        <f t="shared" si="31"/>
        <v>204320290.384264</v>
      </c>
      <c r="Y32" s="162">
        <f t="shared" si="31"/>
        <v>214079099.6991473</v>
      </c>
      <c r="Z32" s="162">
        <f t="shared" si="31"/>
        <v>223355091.1108288</v>
      </c>
      <c r="AA32" s="162">
        <f t="shared" si="31"/>
        <v>232148264.6193083</v>
      </c>
      <c r="AB32" s="162">
        <f t="shared" si="31"/>
        <v>240458620.22458592</v>
      </c>
      <c r="AC32" s="162">
        <f t="shared" si="31"/>
        <v>248286157.9266616</v>
      </c>
      <c r="AD32" s="162">
        <f t="shared" si="31"/>
        <v>255630877.72553542</v>
      </c>
      <c r="AE32" s="162">
        <f t="shared" si="31"/>
        <v>262492779.62120736</v>
      </c>
      <c r="AF32" s="162">
        <f t="shared" si="31"/>
        <v>268871863.6136774</v>
      </c>
      <c r="AG32" s="162">
        <f t="shared" si="31"/>
        <v>274768129.7029455</v>
      </c>
      <c r="AH32" s="162">
        <f t="shared" si="31"/>
        <v>280181577.88901174</v>
      </c>
      <c r="AI32" s="162">
        <f t="shared" si="31"/>
        <v>285112208.17187595</v>
      </c>
      <c r="AJ32" s="162">
        <f t="shared" si="31"/>
        <v>289560020.5515384</v>
      </c>
      <c r="AK32" s="162">
        <f t="shared" si="31"/>
        <v>293525015.0279989</v>
      </c>
      <c r="AL32" s="162">
        <f t="shared" si="31"/>
        <v>297007191.6012575</v>
      </c>
      <c r="AM32" s="162">
        <f t="shared" si="31"/>
        <v>300006550.2713142</v>
      </c>
      <c r="AN32" s="162">
        <f t="shared" si="31"/>
        <v>302523091.038169</v>
      </c>
      <c r="AO32" s="162">
        <f t="shared" si="31"/>
        <v>304556813.90182185</v>
      </c>
      <c r="AP32" s="162">
        <f t="shared" si="31"/>
        <v>306107718.8622728</v>
      </c>
      <c r="AQ32" s="162">
        <f t="shared" si="31"/>
        <v>307175805.9195219</v>
      </c>
      <c r="AR32" s="162">
        <f t="shared" si="31"/>
        <v>307761075.0735691</v>
      </c>
      <c r="AS32" s="162">
        <f t="shared" si="31"/>
        <v>307863526.3244144</v>
      </c>
      <c r="AT32" s="162">
        <f t="shared" si="31"/>
        <v>307483159.67205787</v>
      </c>
      <c r="AU32" s="162">
        <f t="shared" si="31"/>
        <v>306619975.1164992</v>
      </c>
      <c r="AV32" s="162">
        <f t="shared" si="31"/>
        <v>305273972.65773886</v>
      </c>
      <c r="AW32" s="162">
        <f t="shared" si="31"/>
        <v>303445152.29577655</v>
      </c>
      <c r="AX32" s="242">
        <f t="shared" si="31"/>
        <v>301133514.03061223</v>
      </c>
      <c r="AY32" s="162">
        <f t="shared" si="31"/>
        <v>249012001.26411256</v>
      </c>
      <c r="AZ32" s="162">
        <f t="shared" si="31"/>
        <v>148420009.17166755</v>
      </c>
      <c r="BA32" s="162">
        <f t="shared" si="31"/>
        <v>74323938.42168513</v>
      </c>
      <c r="BB32" s="162">
        <f t="shared" si="31"/>
        <v>35985656.04973641</v>
      </c>
      <c r="BC32" s="163">
        <f t="shared" si="31"/>
        <v>16196272.510353804</v>
      </c>
      <c r="BD32" s="162">
        <f t="shared" si="31"/>
        <v>6387283.366929531</v>
      </c>
      <c r="BE32" s="162">
        <f t="shared" si="31"/>
        <v>1973163.9681415558</v>
      </c>
      <c r="BF32" s="162">
        <f t="shared" si="31"/>
        <v>358915.5034766197</v>
      </c>
      <c r="BG32" s="162">
        <f t="shared" si="31"/>
        <v>9683.352450847626</v>
      </c>
      <c r="BH32" s="248">
        <f t="shared" si="31"/>
        <v>-15024.410370349884</v>
      </c>
      <c r="BI32" s="264" t="s">
        <v>181</v>
      </c>
      <c r="BK32" s="146"/>
      <c r="BL32" s="146"/>
      <c r="BM32" s="146"/>
      <c r="BN32" s="146"/>
      <c r="BO32" s="146"/>
      <c r="BQ32" s="147"/>
    </row>
    <row r="33" spans="1:69" s="105" customFormat="1" ht="19.5" customHeight="1">
      <c r="A33"/>
      <c r="B33" s="167" t="s">
        <v>107</v>
      </c>
      <c r="C33" s="265" t="s">
        <v>182</v>
      </c>
      <c r="D33" s="230" t="s">
        <v>163</v>
      </c>
      <c r="E33" s="164" t="s">
        <v>77</v>
      </c>
      <c r="F33" s="164" t="s">
        <v>77</v>
      </c>
      <c r="G33" s="165"/>
      <c r="H33" s="162">
        <f aca="true" t="shared" si="32" ref="H33:AM33">H25*(d_0-a_cu)</f>
        <v>-49081627.62914337</v>
      </c>
      <c r="I33" s="181">
        <f t="shared" si="32"/>
        <v>-56691268.75289226</v>
      </c>
      <c r="J33" s="162">
        <f t="shared" si="32"/>
        <v>44411256.5740474</v>
      </c>
      <c r="K33" s="162">
        <f t="shared" si="32"/>
        <v>37298517.14051052</v>
      </c>
      <c r="L33" s="162">
        <f t="shared" si="32"/>
        <v>32418473.36530789</v>
      </c>
      <c r="M33" s="162">
        <f t="shared" si="32"/>
        <v>10099126.454335717</v>
      </c>
      <c r="N33" s="162">
        <f t="shared" si="32"/>
        <v>2596432.7681288277</v>
      </c>
      <c r="O33" s="162">
        <f t="shared" si="32"/>
        <v>11161214.39226382</v>
      </c>
      <c r="P33" s="162">
        <f t="shared" si="32"/>
        <v>17480171.57711192</v>
      </c>
      <c r="Q33" s="162">
        <f t="shared" si="32"/>
        <v>22329223.613439158</v>
      </c>
      <c r="R33" s="162">
        <f t="shared" si="32"/>
        <v>26160863.02200456</v>
      </c>
      <c r="S33" s="162">
        <f t="shared" si="32"/>
        <v>29226862.00622646</v>
      </c>
      <c r="T33" s="162">
        <f t="shared" si="32"/>
        <v>31601571.514462072</v>
      </c>
      <c r="U33" s="162">
        <f t="shared" si="32"/>
        <v>33239512.182926275</v>
      </c>
      <c r="V33" s="162">
        <f t="shared" si="32"/>
        <v>34196796.79902193</v>
      </c>
      <c r="W33" s="162">
        <f t="shared" si="32"/>
        <v>34704170.55160125</v>
      </c>
      <c r="X33" s="162">
        <f t="shared" si="32"/>
        <v>34977743.21282349</v>
      </c>
      <c r="Y33" s="162">
        <f t="shared" si="32"/>
        <v>35139232.91536967</v>
      </c>
      <c r="Z33" s="162">
        <f t="shared" si="32"/>
        <v>35245432.663938716</v>
      </c>
      <c r="AA33" s="162">
        <f t="shared" si="32"/>
        <v>35322190.193145275</v>
      </c>
      <c r="AB33" s="162">
        <f t="shared" si="32"/>
        <v>35381797.45158895</v>
      </c>
      <c r="AC33" s="162">
        <f t="shared" si="32"/>
        <v>35430511.98273394</v>
      </c>
      <c r="AD33" s="162">
        <f t="shared" si="32"/>
        <v>35471763.837376505</v>
      </c>
      <c r="AE33" s="162">
        <f t="shared" si="32"/>
        <v>35507573.74313277</v>
      </c>
      <c r="AF33" s="162">
        <f t="shared" si="32"/>
        <v>35539214.218327776</v>
      </c>
      <c r="AG33" s="162">
        <f t="shared" si="32"/>
        <v>35567535.6453296</v>
      </c>
      <c r="AH33" s="162">
        <f t="shared" si="32"/>
        <v>35593136.25594598</v>
      </c>
      <c r="AI33" s="162">
        <f t="shared" si="32"/>
        <v>35616455.54521434</v>
      </c>
      <c r="AJ33" s="162">
        <f t="shared" si="32"/>
        <v>35637828.21211967</v>
      </c>
      <c r="AK33" s="162">
        <f t="shared" si="32"/>
        <v>35657516.77705233</v>
      </c>
      <c r="AL33" s="162">
        <f t="shared" si="32"/>
        <v>35675732.16412634</v>
      </c>
      <c r="AM33" s="162">
        <f t="shared" si="32"/>
        <v>35692647.20654142</v>
      </c>
      <c r="AN33" s="162">
        <f aca="true" t="shared" si="33" ref="AN33:BH33">AN25*(d_0-a_cu)</f>
        <v>35708405.82843953</v>
      </c>
      <c r="AO33" s="162">
        <f t="shared" si="33"/>
        <v>35723129.4899221</v>
      </c>
      <c r="AP33" s="162">
        <f t="shared" si="33"/>
        <v>35736921.84171638</v>
      </c>
      <c r="AQ33" s="162">
        <f t="shared" si="33"/>
        <v>35749872.172671154</v>
      </c>
      <c r="AR33" s="162">
        <f t="shared" si="33"/>
        <v>35762058.02044259</v>
      </c>
      <c r="AS33" s="162">
        <f t="shared" si="33"/>
        <v>35773547.18730788</v>
      </c>
      <c r="AT33" s="162">
        <f t="shared" si="33"/>
        <v>35784399.32334956</v>
      </c>
      <c r="AU33" s="162">
        <f t="shared" si="33"/>
        <v>35794667.18848734</v>
      </c>
      <c r="AV33" s="162">
        <f t="shared" si="33"/>
        <v>35804397.671687074</v>
      </c>
      <c r="AW33" s="162">
        <f t="shared" si="33"/>
        <v>35813632.62352936</v>
      </c>
      <c r="AX33" s="242">
        <f t="shared" si="33"/>
        <v>35822409.543201715</v>
      </c>
      <c r="AY33" s="162">
        <f t="shared" si="33"/>
        <v>35892841.45918175</v>
      </c>
      <c r="AZ33" s="162">
        <f t="shared" si="33"/>
        <v>35939526.36751034</v>
      </c>
      <c r="BA33" s="162">
        <f t="shared" si="33"/>
        <v>35972766.0318322</v>
      </c>
      <c r="BB33" s="162">
        <f t="shared" si="33"/>
        <v>35997644.090348534</v>
      </c>
      <c r="BC33" s="163">
        <f t="shared" si="33"/>
        <v>36016965.313919246</v>
      </c>
      <c r="BD33" s="162">
        <f t="shared" si="33"/>
        <v>36032405.31943194</v>
      </c>
      <c r="BE33" s="162">
        <f t="shared" si="33"/>
        <v>36045027.239882804</v>
      </c>
      <c r="BF33" s="162">
        <f t="shared" si="33"/>
        <v>36055538.27891655</v>
      </c>
      <c r="BG33" s="162">
        <f t="shared" si="33"/>
        <v>36064427.212593645</v>
      </c>
      <c r="BH33" s="248">
        <f t="shared" si="33"/>
        <v>36072042.696843915</v>
      </c>
      <c r="BI33" s="265" t="s">
        <v>182</v>
      </c>
      <c r="BK33" s="146"/>
      <c r="BL33" s="146"/>
      <c r="BM33" s="146"/>
      <c r="BN33" s="146"/>
      <c r="BO33" s="146"/>
      <c r="BQ33" s="147"/>
    </row>
    <row r="34" spans="1:69" s="105" customFormat="1" ht="19.5" customHeight="1" thickBot="1">
      <c r="A34"/>
      <c r="B34" s="167" t="s">
        <v>108</v>
      </c>
      <c r="C34" s="266" t="s">
        <v>183</v>
      </c>
      <c r="D34" s="230" t="s">
        <v>164</v>
      </c>
      <c r="E34" s="164" t="s">
        <v>74</v>
      </c>
      <c r="F34" s="164" t="s">
        <v>77</v>
      </c>
      <c r="G34" s="165"/>
      <c r="H34" s="162">
        <f aca="true" t="shared" si="34" ref="H34:AM34">H29*(d_0-a_tl)</f>
        <v>-56691268.75289226</v>
      </c>
      <c r="I34" s="181">
        <f t="shared" si="34"/>
        <v>56691268.75289226</v>
      </c>
      <c r="J34" s="162">
        <f t="shared" si="34"/>
        <v>56691268.75289226</v>
      </c>
      <c r="K34" s="162">
        <f t="shared" si="34"/>
        <v>56691268.75289226</v>
      </c>
      <c r="L34" s="162">
        <f t="shared" si="34"/>
        <v>56691268.75289226</v>
      </c>
      <c r="M34" s="162">
        <f t="shared" si="34"/>
        <v>56691268.75289226</v>
      </c>
      <c r="N34" s="162">
        <f t="shared" si="34"/>
        <v>56691268.75289226</v>
      </c>
      <c r="O34" s="162">
        <f t="shared" si="34"/>
        <v>56691268.75289226</v>
      </c>
      <c r="P34" s="162">
        <f t="shared" si="34"/>
        <v>55693749.887941405</v>
      </c>
      <c r="Q34" s="162">
        <f t="shared" si="34"/>
        <v>52772445.80513718</v>
      </c>
      <c r="R34" s="162">
        <f t="shared" si="34"/>
        <v>50500320.397876024</v>
      </c>
      <c r="S34" s="162">
        <f t="shared" si="34"/>
        <v>48682620.066066645</v>
      </c>
      <c r="T34" s="162">
        <f t="shared" si="34"/>
        <v>47195410.69970992</v>
      </c>
      <c r="U34" s="162">
        <f t="shared" si="34"/>
        <v>45956069.558351815</v>
      </c>
      <c r="V34" s="162">
        <f t="shared" si="34"/>
        <v>44907396.28295828</v>
      </c>
      <c r="W34" s="162">
        <f t="shared" si="34"/>
        <v>44008533.474065065</v>
      </c>
      <c r="X34" s="162">
        <f t="shared" si="34"/>
        <v>43229519.038635574</v>
      </c>
      <c r="Y34" s="162">
        <f t="shared" si="34"/>
        <v>42547881.40682917</v>
      </c>
      <c r="Z34" s="162">
        <f t="shared" si="34"/>
        <v>41946436.43695432</v>
      </c>
      <c r="AA34" s="162">
        <f t="shared" si="34"/>
        <v>41411818.6854065</v>
      </c>
      <c r="AB34" s="162">
        <f t="shared" si="34"/>
        <v>40933476.48597256</v>
      </c>
      <c r="AC34" s="162">
        <f t="shared" si="34"/>
        <v>40502968.504767686</v>
      </c>
      <c r="AD34" s="162">
        <f t="shared" si="34"/>
        <v>40113461.2768711</v>
      </c>
      <c r="AE34" s="162">
        <f t="shared" si="34"/>
        <v>39759363.76685897</v>
      </c>
      <c r="AF34" s="162">
        <f t="shared" si="34"/>
        <v>39436057.21077978</v>
      </c>
      <c r="AG34" s="162">
        <f t="shared" si="34"/>
        <v>39139692.27867052</v>
      </c>
      <c r="AH34" s="162">
        <f t="shared" si="34"/>
        <v>38867033.97634413</v>
      </c>
      <c r="AI34" s="162">
        <f t="shared" si="34"/>
        <v>38615338.29786518</v>
      </c>
      <c r="AJ34" s="162">
        <f t="shared" si="34"/>
        <v>38382238.916867316</v>
      </c>
      <c r="AK34" s="162">
        <f t="shared" si="34"/>
        <v>38165583.07566026</v>
      </c>
      <c r="AL34" s="162">
        <f t="shared" si="34"/>
        <v>37962974.09100948</v>
      </c>
      <c r="AM34" s="162">
        <f t="shared" si="34"/>
        <v>37769964.325095415</v>
      </c>
      <c r="AN34" s="162">
        <f aca="true" t="shared" si="35" ref="AN34:BH34">AN29*(d_0-a_tl)</f>
        <v>37572245.85022063</v>
      </c>
      <c r="AO34" s="162">
        <f t="shared" si="35"/>
        <v>37312663.03095338</v>
      </c>
      <c r="AP34" s="162">
        <f t="shared" si="35"/>
        <v>36781278.651091754</v>
      </c>
      <c r="AQ34" s="162">
        <f t="shared" si="35"/>
        <v>35526327.74772163</v>
      </c>
      <c r="AR34" s="162">
        <f t="shared" si="35"/>
        <v>33429216.982278313</v>
      </c>
      <c r="AS34" s="162">
        <f t="shared" si="35"/>
        <v>30994622.662861176</v>
      </c>
      <c r="AT34" s="162">
        <f t="shared" si="35"/>
        <v>28570524.438924767</v>
      </c>
      <c r="AU34" s="162">
        <f t="shared" si="35"/>
        <v>26249302.576523088</v>
      </c>
      <c r="AV34" s="162">
        <f t="shared" si="35"/>
        <v>24042566.320979036</v>
      </c>
      <c r="AW34" s="162">
        <f t="shared" si="35"/>
        <v>21945379.438655674</v>
      </c>
      <c r="AX34" s="242">
        <f t="shared" si="35"/>
        <v>19950366.265701756</v>
      </c>
      <c r="AY34" s="162">
        <f t="shared" si="35"/>
        <v>3892542.7255994715</v>
      </c>
      <c r="AZ34" s="162">
        <f t="shared" si="35"/>
        <v>-6785445.60616491</v>
      </c>
      <c r="BA34" s="162">
        <f t="shared" si="35"/>
        <v>-14399286.64425117</v>
      </c>
      <c r="BB34" s="162">
        <f t="shared" si="35"/>
        <v>-20102409.813935217</v>
      </c>
      <c r="BC34" s="163">
        <f t="shared" si="35"/>
        <v>-24533602.800239448</v>
      </c>
      <c r="BD34" s="162">
        <f t="shared" si="35"/>
        <v>-28071515.28626036</v>
      </c>
      <c r="BE34" s="162">
        <f t="shared" si="35"/>
        <v>-30935261.01213995</v>
      </c>
      <c r="BF34" s="162">
        <f t="shared" si="35"/>
        <v>-33211347.695228983</v>
      </c>
      <c r="BG34" s="162">
        <f t="shared" si="35"/>
        <v>-34886662.9370053</v>
      </c>
      <c r="BH34" s="248">
        <f t="shared" si="35"/>
        <v>-35971614.20186371</v>
      </c>
      <c r="BI34" s="266" t="s">
        <v>183</v>
      </c>
      <c r="BK34" s="146"/>
      <c r="BL34" s="146"/>
      <c r="BM34" s="146"/>
      <c r="BN34" s="146"/>
      <c r="BO34" s="146"/>
      <c r="BQ34" s="147"/>
    </row>
    <row r="35" spans="2:69" ht="19.5" customHeight="1" thickTop="1">
      <c r="B35" s="167" t="s">
        <v>132</v>
      </c>
      <c r="C35" s="343" t="s">
        <v>203</v>
      </c>
      <c r="D35" s="344"/>
      <c r="E35" s="344"/>
      <c r="F35" s="185" t="s">
        <v>75</v>
      </c>
      <c r="G35" s="171">
        <v>0</v>
      </c>
      <c r="H35" s="171">
        <f aca="true" t="shared" si="36" ref="H35:AM35">(H19+H25-H29)/1000</f>
        <v>40.262651448406835</v>
      </c>
      <c r="I35" s="171">
        <f t="shared" si="36"/>
        <v>-599.9075957316642</v>
      </c>
      <c r="J35" s="171">
        <f t="shared" si="36"/>
        <v>11.659675721688021</v>
      </c>
      <c r="K35" s="171">
        <f t="shared" si="36"/>
        <v>50.65940875982045</v>
      </c>
      <c r="L35" s="171">
        <f t="shared" si="36"/>
        <v>101.47234633940388</v>
      </c>
      <c r="M35" s="171">
        <f t="shared" si="36"/>
        <v>60.013838756185606</v>
      </c>
      <c r="N35" s="171">
        <f t="shared" si="36"/>
        <v>96.95032178019092</v>
      </c>
      <c r="O35" s="171">
        <f t="shared" si="36"/>
        <v>218.89990168431208</v>
      </c>
      <c r="P35" s="171">
        <f t="shared" si="36"/>
        <v>334.2446901898299</v>
      </c>
      <c r="Q35" s="171">
        <f t="shared" si="36"/>
        <v>451.99096054366794</v>
      </c>
      <c r="R35" s="171">
        <f t="shared" si="36"/>
        <v>560.9192874937761</v>
      </c>
      <c r="S35" s="171">
        <f t="shared" si="36"/>
        <v>663.3922414290945</v>
      </c>
      <c r="T35" s="171">
        <f t="shared" si="36"/>
        <v>760.458949642514</v>
      </c>
      <c r="U35" s="171">
        <f t="shared" si="36"/>
        <v>852.3159379365151</v>
      </c>
      <c r="V35" s="171">
        <f t="shared" si="36"/>
        <v>939.562746768436</v>
      </c>
      <c r="W35" s="171">
        <f t="shared" si="36"/>
        <v>1023.6364268701103</v>
      </c>
      <c r="X35" s="171">
        <f t="shared" si="36"/>
        <v>1105.8389457822568</v>
      </c>
      <c r="Y35" s="171">
        <f t="shared" si="36"/>
        <v>1186.9332119838252</v>
      </c>
      <c r="Z35" s="171">
        <f t="shared" si="36"/>
        <v>1267.310638947782</v>
      </c>
      <c r="AA35" s="171">
        <f t="shared" si="36"/>
        <v>1347.1787038075615</v>
      </c>
      <c r="AB35" s="171">
        <f t="shared" si="36"/>
        <v>1426.6582722500034</v>
      </c>
      <c r="AC35" s="171">
        <f t="shared" si="36"/>
        <v>1505.827116112933</v>
      </c>
      <c r="AD35" s="171">
        <f t="shared" si="36"/>
        <v>1584.7395397123144</v>
      </c>
      <c r="AE35" s="171">
        <f t="shared" si="36"/>
        <v>1663.4358169266654</v>
      </c>
      <c r="AF35" s="171">
        <f t="shared" si="36"/>
        <v>1741.947118561682</v>
      </c>
      <c r="AG35" s="171">
        <f t="shared" si="36"/>
        <v>1820.2983108201738</v>
      </c>
      <c r="AH35" s="171">
        <f t="shared" si="36"/>
        <v>1898.5096753211617</v>
      </c>
      <c r="AI35" s="171">
        <f t="shared" si="36"/>
        <v>1976.598055985136</v>
      </c>
      <c r="AJ35" s="171">
        <f t="shared" si="36"/>
        <v>2054.577743951523</v>
      </c>
      <c r="AK35" s="171">
        <f t="shared" si="36"/>
        <v>2132.4615184694253</v>
      </c>
      <c r="AL35" s="171">
        <f t="shared" si="36"/>
        <v>2210.2631764031225</v>
      </c>
      <c r="AM35" s="171">
        <f t="shared" si="36"/>
        <v>2288.0071646892234</v>
      </c>
      <c r="AN35" s="171">
        <f aca="true" t="shared" si="37" ref="AN35:BH35">(AN19+AN25-AN29)/1000</f>
        <v>2365.7699481522754</v>
      </c>
      <c r="AO35" s="171">
        <f t="shared" si="37"/>
        <v>2443.854580207798</v>
      </c>
      <c r="AP35" s="171">
        <f t="shared" si="37"/>
        <v>2523.3723881940405</v>
      </c>
      <c r="AQ35" s="171">
        <f t="shared" si="37"/>
        <v>2606.714135347843</v>
      </c>
      <c r="AR35" s="171">
        <f t="shared" si="37"/>
        <v>2694.5077099031796</v>
      </c>
      <c r="AS35" s="171">
        <f t="shared" si="37"/>
        <v>2784.083225585858</v>
      </c>
      <c r="AT35" s="171">
        <f t="shared" si="37"/>
        <v>2873.5998358383554</v>
      </c>
      <c r="AU35" s="171">
        <f t="shared" si="37"/>
        <v>2962.569035337209</v>
      </c>
      <c r="AV35" s="171">
        <f t="shared" si="37"/>
        <v>3050.929647593757</v>
      </c>
      <c r="AW35" s="171">
        <f t="shared" si="37"/>
        <v>3138.7080116779343</v>
      </c>
      <c r="AX35" s="244">
        <f t="shared" si="37"/>
        <v>3225.9433506746027</v>
      </c>
      <c r="AY35" s="171">
        <f t="shared" si="37"/>
        <v>4102.778328367467</v>
      </c>
      <c r="AZ35" s="171">
        <f t="shared" si="37"/>
        <v>4939.756241795482</v>
      </c>
      <c r="BA35" s="171">
        <f t="shared" si="37"/>
        <v>5500.383401414757</v>
      </c>
      <c r="BB35" s="171">
        <f t="shared" si="37"/>
        <v>5832.157397813336</v>
      </c>
      <c r="BC35" s="177">
        <f t="shared" si="37"/>
        <v>6043.678291426262</v>
      </c>
      <c r="BD35" s="171">
        <f t="shared" si="37"/>
        <v>6188.381025279213</v>
      </c>
      <c r="BE35" s="171">
        <f t="shared" si="37"/>
        <v>6294.378726807568</v>
      </c>
      <c r="BF35" s="171">
        <f t="shared" si="37"/>
        <v>6377.021243266827</v>
      </c>
      <c r="BG35" s="171">
        <f t="shared" si="37"/>
        <v>6444.806315794909</v>
      </c>
      <c r="BH35" s="249">
        <f t="shared" si="37"/>
        <v>6502.870529067154</v>
      </c>
      <c r="BI35" s="169" t="s">
        <v>73</v>
      </c>
      <c r="BK35" s="12"/>
      <c r="BL35" s="12"/>
      <c r="BM35" s="12"/>
      <c r="BN35" s="12"/>
      <c r="BO35" s="12"/>
      <c r="BQ35" s="19"/>
    </row>
    <row r="36" spans="2:69" ht="19.5" customHeight="1" thickBot="1">
      <c r="B36" s="167" t="s">
        <v>117</v>
      </c>
      <c r="C36" s="334" t="s">
        <v>204</v>
      </c>
      <c r="D36" s="335"/>
      <c r="E36" s="335"/>
      <c r="F36" s="186" t="s">
        <v>74</v>
      </c>
      <c r="G36" s="172">
        <f aca="true" t="shared" si="38" ref="G36:BG36">(G32+G33+G34)/1000000</f>
        <v>0</v>
      </c>
      <c r="H36" s="172">
        <f t="shared" si="38"/>
        <v>-105.77289638203564</v>
      </c>
      <c r="I36" s="172">
        <f t="shared" si="38"/>
        <v>2.276785708963871E-06</v>
      </c>
      <c r="J36" s="172">
        <f t="shared" si="38"/>
        <v>118.10360546663725</v>
      </c>
      <c r="K36" s="172">
        <f t="shared" si="38"/>
        <v>127.50912599281034</v>
      </c>
      <c r="L36" s="172">
        <f t="shared" si="38"/>
        <v>138.66452427411573</v>
      </c>
      <c r="M36" s="172">
        <f t="shared" si="38"/>
        <v>131.89780151644976</v>
      </c>
      <c r="N36" s="172">
        <f t="shared" si="38"/>
        <v>139.4649140803471</v>
      </c>
      <c r="O36" s="172">
        <f t="shared" si="38"/>
        <v>162.61668405138448</v>
      </c>
      <c r="P36" s="172">
        <f t="shared" si="38"/>
        <v>182.04229281498218</v>
      </c>
      <c r="Q36" s="172">
        <f t="shared" si="38"/>
        <v>197.59139330900373</v>
      </c>
      <c r="R36" s="172">
        <f t="shared" si="38"/>
        <v>212.28944194760464</v>
      </c>
      <c r="S36" s="172">
        <f t="shared" si="38"/>
        <v>226.1934573341119</v>
      </c>
      <c r="T36" s="172">
        <f t="shared" si="38"/>
        <v>239.25385630688368</v>
      </c>
      <c r="U36" s="172">
        <f t="shared" si="38"/>
        <v>251.3425367616807</v>
      </c>
      <c r="V36" s="172">
        <f t="shared" si="38"/>
        <v>262.45841112687185</v>
      </c>
      <c r="W36" s="172">
        <f t="shared" si="38"/>
        <v>272.79136719184504</v>
      </c>
      <c r="X36" s="172">
        <f t="shared" si="38"/>
        <v>282.52755263572305</v>
      </c>
      <c r="Y36" s="172">
        <f t="shared" si="38"/>
        <v>291.7662140213462</v>
      </c>
      <c r="Z36" s="172">
        <f t="shared" si="38"/>
        <v>300.54696021172185</v>
      </c>
      <c r="AA36" s="172">
        <f t="shared" si="38"/>
        <v>308.88227349786007</v>
      </c>
      <c r="AB36" s="172">
        <f t="shared" si="38"/>
        <v>316.7738941621475</v>
      </c>
      <c r="AC36" s="172">
        <f t="shared" si="38"/>
        <v>324.2196384141632</v>
      </c>
      <c r="AD36" s="172">
        <f t="shared" si="38"/>
        <v>331.216102839783</v>
      </c>
      <c r="AE36" s="172">
        <f t="shared" si="38"/>
        <v>337.7597171311991</v>
      </c>
      <c r="AF36" s="172">
        <f t="shared" si="38"/>
        <v>343.84713504278494</v>
      </c>
      <c r="AG36" s="172">
        <f t="shared" si="38"/>
        <v>349.4753576269456</v>
      </c>
      <c r="AH36" s="172">
        <f t="shared" si="38"/>
        <v>354.6417481213018</v>
      </c>
      <c r="AI36" s="172">
        <f t="shared" si="38"/>
        <v>359.3440020149555</v>
      </c>
      <c r="AJ36" s="172">
        <f t="shared" si="38"/>
        <v>363.58008768052537</v>
      </c>
      <c r="AK36" s="172">
        <f t="shared" si="38"/>
        <v>367.34811488071153</v>
      </c>
      <c r="AL36" s="172">
        <f t="shared" si="38"/>
        <v>370.64589785639333</v>
      </c>
      <c r="AM36" s="172">
        <f t="shared" si="38"/>
        <v>373.469161802951</v>
      </c>
      <c r="AN36" s="172">
        <f t="shared" si="38"/>
        <v>375.80374271682916</v>
      </c>
      <c r="AO36" s="172">
        <f t="shared" si="38"/>
        <v>377.5926064226973</v>
      </c>
      <c r="AP36" s="172">
        <f t="shared" si="38"/>
        <v>378.6259193550809</v>
      </c>
      <c r="AQ36" s="172">
        <f t="shared" si="38"/>
        <v>378.4520058399147</v>
      </c>
      <c r="AR36" s="172">
        <f t="shared" si="38"/>
        <v>376.95235007629003</v>
      </c>
      <c r="AS36" s="172">
        <f t="shared" si="38"/>
        <v>374.63169617458345</v>
      </c>
      <c r="AT36" s="172">
        <f t="shared" si="38"/>
        <v>371.8380834343322</v>
      </c>
      <c r="AU36" s="172">
        <f t="shared" si="38"/>
        <v>368.6639448815096</v>
      </c>
      <c r="AV36" s="172">
        <f t="shared" si="38"/>
        <v>365.120936650405</v>
      </c>
      <c r="AW36" s="172">
        <f t="shared" si="38"/>
        <v>361.2041643579616</v>
      </c>
      <c r="AX36" s="245">
        <f t="shared" si="38"/>
        <v>356.9062898395157</v>
      </c>
      <c r="AY36" s="172">
        <f t="shared" si="38"/>
        <v>288.7973854488938</v>
      </c>
      <c r="AZ36" s="172">
        <f t="shared" si="38"/>
        <v>177.574089933013</v>
      </c>
      <c r="BA36" s="172">
        <f t="shared" si="38"/>
        <v>95.89741780926616</v>
      </c>
      <c r="BB36" s="172">
        <f t="shared" si="38"/>
        <v>51.88089032614973</v>
      </c>
      <c r="BC36" s="178">
        <f t="shared" si="38"/>
        <v>27.6796350240336</v>
      </c>
      <c r="BD36" s="172">
        <f t="shared" si="38"/>
        <v>14.34817340010111</v>
      </c>
      <c r="BE36" s="172">
        <f t="shared" si="38"/>
        <v>7.08293019588441</v>
      </c>
      <c r="BF36" s="172">
        <f t="shared" si="38"/>
        <v>3.2031060871641897</v>
      </c>
      <c r="BG36" s="172">
        <f t="shared" si="38"/>
        <v>1.1874476280391961</v>
      </c>
      <c r="BH36" s="250">
        <f>(BH32+BH33+BH34)/1000000</f>
        <v>0.08540408460985124</v>
      </c>
      <c r="BI36" s="170" t="s">
        <v>66</v>
      </c>
      <c r="BK36" s="12"/>
      <c r="BL36" s="12"/>
      <c r="BM36" s="12"/>
      <c r="BN36" s="12"/>
      <c r="BO36" s="12"/>
      <c r="BQ36" s="19"/>
    </row>
    <row r="37" spans="2:33" ht="19.5" customHeight="1">
      <c r="B37" s="154"/>
      <c r="C37" s="154"/>
      <c r="F37" s="8"/>
      <c r="G37" s="8"/>
      <c r="H37" s="8"/>
      <c r="I37" s="145" t="s">
        <v>76</v>
      </c>
      <c r="L37" s="145" t="s">
        <v>119</v>
      </c>
      <c r="O37" s="145" t="s">
        <v>120</v>
      </c>
      <c r="S37" s="120" t="s">
        <v>67</v>
      </c>
      <c r="AG37" s="5"/>
    </row>
    <row r="38" spans="2:33" ht="19.5" customHeight="1">
      <c r="B38" s="154"/>
      <c r="C38" s="154"/>
      <c r="F38" s="9"/>
      <c r="G38" s="18"/>
      <c r="H38" s="8"/>
      <c r="I38" s="124">
        <f>Kalkulator!E53</f>
        <v>1500</v>
      </c>
      <c r="J38" s="125">
        <f>Kalkulator!I53</f>
        <v>-500</v>
      </c>
      <c r="L38" s="128">
        <v>0</v>
      </c>
      <c r="M38" s="129">
        <f>BH35</f>
        <v>6502.870529067154</v>
      </c>
      <c r="O38" s="138">
        <f>BH36</f>
        <v>0.08540408460985124</v>
      </c>
      <c r="P38" s="139">
        <f>(O38+Q38)/2</f>
        <v>189.3556617198454</v>
      </c>
      <c r="Q38" s="140">
        <f>MAX(G36:BH36)</f>
        <v>378.6259193550809</v>
      </c>
      <c r="S38" s="132">
        <v>0</v>
      </c>
      <c r="T38" s="133">
        <f>(S38+U38)/2</f>
        <v>65.02870529067154</v>
      </c>
      <c r="U38" s="134">
        <f>MIN(20,0.05*h)/1000*U39</f>
        <v>130.05741058134308</v>
      </c>
      <c r="AG38" s="5"/>
    </row>
    <row r="39" spans="2:33" ht="19.5" customHeight="1">
      <c r="B39" s="152"/>
      <c r="C39" s="152"/>
      <c r="F39" s="8"/>
      <c r="G39" s="8"/>
      <c r="H39" s="8"/>
      <c r="I39" s="126">
        <f>Kalkulator!F53</f>
        <v>320</v>
      </c>
      <c r="J39" s="127">
        <f>Kalkulator!J53</f>
        <v>50</v>
      </c>
      <c r="L39" s="130">
        <v>0</v>
      </c>
      <c r="M39" s="131">
        <f>BH36</f>
        <v>0.08540408460985124</v>
      </c>
      <c r="O39" s="141">
        <f>0.1*F_cA/1000</f>
        <v>562.5</v>
      </c>
      <c r="P39" s="142">
        <f>O39</f>
        <v>562.5</v>
      </c>
      <c r="Q39" s="143">
        <f>O39</f>
        <v>562.5</v>
      </c>
      <c r="S39" s="135">
        <v>0</v>
      </c>
      <c r="T39" s="136">
        <f>(S39+U39)/2</f>
        <v>3251.435264533577</v>
      </c>
      <c r="U39" s="137">
        <f>M38</f>
        <v>6502.870529067154</v>
      </c>
      <c r="AG39" s="5"/>
    </row>
    <row r="40" spans="6:65" ht="19.5" customHeight="1">
      <c r="F40" s="8"/>
      <c r="G40" s="8"/>
      <c r="H40" s="6">
        <v>0</v>
      </c>
      <c r="I40" s="24">
        <v>1</v>
      </c>
      <c r="J40" s="25">
        <v>2</v>
      </c>
      <c r="AG40" s="5"/>
      <c r="BM40" s="9"/>
    </row>
    <row r="41" spans="3:69" ht="19.5" customHeight="1">
      <c r="C41" s="151"/>
      <c r="E41" s="144" t="s">
        <v>69</v>
      </c>
      <c r="F41" s="166" t="s">
        <v>109</v>
      </c>
      <c r="G41" s="6" t="s">
        <v>68</v>
      </c>
      <c r="H41" s="12">
        <f aca="true" t="shared" si="39" ref="H41:AM41">I35-H35</f>
        <v>-640.170247180071</v>
      </c>
      <c r="I41" s="110">
        <f t="shared" si="39"/>
        <v>611.5672714533522</v>
      </c>
      <c r="J41" s="12">
        <f t="shared" si="39"/>
        <v>38.99973303813243</v>
      </c>
      <c r="K41" s="12">
        <f t="shared" si="39"/>
        <v>50.81293757958343</v>
      </c>
      <c r="L41" s="12">
        <f t="shared" si="39"/>
        <v>-41.45850758321828</v>
      </c>
      <c r="M41" s="12">
        <f t="shared" si="39"/>
        <v>36.93648302400531</v>
      </c>
      <c r="N41" s="12">
        <f t="shared" si="39"/>
        <v>121.94957990412117</v>
      </c>
      <c r="O41" s="12">
        <f t="shared" si="39"/>
        <v>115.34478850551781</v>
      </c>
      <c r="P41" s="12">
        <f t="shared" si="39"/>
        <v>117.74627035383804</v>
      </c>
      <c r="Q41" s="12">
        <f t="shared" si="39"/>
        <v>108.92832695010816</v>
      </c>
      <c r="R41" s="12">
        <f t="shared" si="39"/>
        <v>102.4729539353184</v>
      </c>
      <c r="S41" s="12">
        <f t="shared" si="39"/>
        <v>97.06670821341947</v>
      </c>
      <c r="T41" s="12">
        <f t="shared" si="39"/>
        <v>91.8569882940011</v>
      </c>
      <c r="U41" s="12">
        <f t="shared" si="39"/>
        <v>87.24680883192093</v>
      </c>
      <c r="V41" s="12">
        <f t="shared" si="39"/>
        <v>84.07368010167431</v>
      </c>
      <c r="W41" s="12">
        <f t="shared" si="39"/>
        <v>82.2025189121465</v>
      </c>
      <c r="X41" s="12">
        <f t="shared" si="39"/>
        <v>81.09426620156842</v>
      </c>
      <c r="Y41" s="12">
        <f t="shared" si="39"/>
        <v>80.37742696395685</v>
      </c>
      <c r="Z41" s="12">
        <f t="shared" si="39"/>
        <v>79.86806485977945</v>
      </c>
      <c r="AA41" s="12">
        <f t="shared" si="39"/>
        <v>79.47956844244186</v>
      </c>
      <c r="AB41" s="12">
        <f t="shared" si="39"/>
        <v>79.16884386292963</v>
      </c>
      <c r="AC41" s="12">
        <f t="shared" si="39"/>
        <v>78.91242359938133</v>
      </c>
      <c r="AD41" s="12">
        <f t="shared" si="39"/>
        <v>78.69627721435108</v>
      </c>
      <c r="AE41" s="12">
        <f t="shared" si="39"/>
        <v>78.51130163501648</v>
      </c>
      <c r="AF41" s="12">
        <f t="shared" si="39"/>
        <v>78.35119225849189</v>
      </c>
      <c r="AG41" s="12">
        <f t="shared" si="39"/>
        <v>78.21136450098788</v>
      </c>
      <c r="AH41" s="12">
        <f t="shared" si="39"/>
        <v>78.08838066397425</v>
      </c>
      <c r="AI41" s="12">
        <f t="shared" si="39"/>
        <v>77.97968796638725</v>
      </c>
      <c r="AJ41" s="12">
        <f t="shared" si="39"/>
        <v>77.88377451790211</v>
      </c>
      <c r="AK41" s="12">
        <f t="shared" si="39"/>
        <v>77.80165793369724</v>
      </c>
      <c r="AL41" s="12">
        <f t="shared" si="39"/>
        <v>77.74398828610083</v>
      </c>
      <c r="AM41" s="12">
        <f t="shared" si="39"/>
        <v>77.76278346305207</v>
      </c>
      <c r="AN41" s="12">
        <f aca="true" t="shared" si="40" ref="AN41:BG41">AO35-AN35</f>
        <v>78.08463205552243</v>
      </c>
      <c r="AO41" s="12">
        <f t="shared" si="40"/>
        <v>79.51780798624259</v>
      </c>
      <c r="AP41" s="12">
        <f t="shared" si="40"/>
        <v>83.34174715380232</v>
      </c>
      <c r="AQ41" s="12">
        <f t="shared" si="40"/>
        <v>87.79357455533682</v>
      </c>
      <c r="AR41" s="12">
        <f t="shared" si="40"/>
        <v>89.57551568267854</v>
      </c>
      <c r="AS41" s="12">
        <f t="shared" si="40"/>
        <v>89.51661025249723</v>
      </c>
      <c r="AT41" s="12">
        <f t="shared" si="40"/>
        <v>88.96919949885341</v>
      </c>
      <c r="AU41" s="12">
        <f t="shared" si="40"/>
        <v>88.3606122565484</v>
      </c>
      <c r="AV41" s="12">
        <f t="shared" si="40"/>
        <v>87.77836408417716</v>
      </c>
      <c r="AW41" s="12">
        <f t="shared" si="40"/>
        <v>87.23533899666836</v>
      </c>
      <c r="AX41" s="182">
        <f t="shared" si="40"/>
        <v>876.8349776928644</v>
      </c>
      <c r="AY41" s="12">
        <f t="shared" si="40"/>
        <v>836.9779134280152</v>
      </c>
      <c r="AZ41" s="12">
        <f t="shared" si="40"/>
        <v>560.6271596192746</v>
      </c>
      <c r="BA41" s="12">
        <f t="shared" si="40"/>
        <v>331.7739963985787</v>
      </c>
      <c r="BB41" s="12">
        <f t="shared" si="40"/>
        <v>211.52089361292656</v>
      </c>
      <c r="BC41" s="14">
        <f t="shared" si="40"/>
        <v>144.7027338529506</v>
      </c>
      <c r="BD41" s="12">
        <f t="shared" si="40"/>
        <v>105.99770152835481</v>
      </c>
      <c r="BE41" s="12">
        <f t="shared" si="40"/>
        <v>82.64251645925924</v>
      </c>
      <c r="BF41" s="12">
        <f t="shared" si="40"/>
        <v>67.78507252808231</v>
      </c>
      <c r="BG41" s="12">
        <f t="shared" si="40"/>
        <v>58.06421327224507</v>
      </c>
      <c r="BH41" s="19"/>
      <c r="BI41" s="12"/>
      <c r="BJ41" s="12"/>
      <c r="BK41" s="12"/>
      <c r="BL41" s="12"/>
      <c r="BM41" s="12"/>
      <c r="BN41" s="12"/>
      <c r="BO41" s="12"/>
      <c r="BQ41" s="19"/>
    </row>
    <row r="42" spans="3:69" ht="19.5" customHeight="1">
      <c r="C42" s="151"/>
      <c r="E42" s="144" t="s">
        <v>71</v>
      </c>
      <c r="F42" s="166" t="s">
        <v>110</v>
      </c>
      <c r="G42" s="6" t="s">
        <v>70</v>
      </c>
      <c r="H42" s="12">
        <f aca="true" t="shared" si="41" ref="H42:AM42">I36-H36</f>
        <v>105.77289865882135</v>
      </c>
      <c r="I42" s="110">
        <f t="shared" si="41"/>
        <v>118.10360318985154</v>
      </c>
      <c r="J42" s="12">
        <f t="shared" si="41"/>
        <v>9.405520526173092</v>
      </c>
      <c r="K42" s="12">
        <f t="shared" si="41"/>
        <v>11.155398281305395</v>
      </c>
      <c r="L42" s="12">
        <f t="shared" si="41"/>
        <v>-6.766722757665974</v>
      </c>
      <c r="M42" s="12">
        <f t="shared" si="41"/>
        <v>7.5671125638973535</v>
      </c>
      <c r="N42" s="12">
        <f t="shared" si="41"/>
        <v>23.151769971037368</v>
      </c>
      <c r="O42" s="12">
        <f t="shared" si="41"/>
        <v>19.425608763597694</v>
      </c>
      <c r="P42" s="12">
        <f t="shared" si="41"/>
        <v>15.549100494021559</v>
      </c>
      <c r="Q42" s="12">
        <f t="shared" si="41"/>
        <v>14.698048638600909</v>
      </c>
      <c r="R42" s="12">
        <f t="shared" si="41"/>
        <v>13.904015386507268</v>
      </c>
      <c r="S42" s="12">
        <f t="shared" si="41"/>
        <v>13.060398972771765</v>
      </c>
      <c r="T42" s="12">
        <f t="shared" si="41"/>
        <v>12.088680454797014</v>
      </c>
      <c r="U42" s="12">
        <f t="shared" si="41"/>
        <v>11.11587436519116</v>
      </c>
      <c r="V42" s="12">
        <f t="shared" si="41"/>
        <v>10.332956064973189</v>
      </c>
      <c r="W42" s="12">
        <f t="shared" si="41"/>
        <v>9.736185443878014</v>
      </c>
      <c r="X42" s="12">
        <f t="shared" si="41"/>
        <v>9.238661385623118</v>
      </c>
      <c r="Y42" s="12">
        <f t="shared" si="41"/>
        <v>8.78074619037568</v>
      </c>
      <c r="Z42" s="12">
        <f t="shared" si="41"/>
        <v>8.335313286138216</v>
      </c>
      <c r="AA42" s="12">
        <f t="shared" si="41"/>
        <v>7.891620664287416</v>
      </c>
      <c r="AB42" s="12">
        <f t="shared" si="41"/>
        <v>7.445744252015743</v>
      </c>
      <c r="AC42" s="12">
        <f t="shared" si="41"/>
        <v>6.996464425619763</v>
      </c>
      <c r="AD42" s="12">
        <f t="shared" si="41"/>
        <v>6.543614291416134</v>
      </c>
      <c r="AE42" s="12">
        <f t="shared" si="41"/>
        <v>6.087417911585817</v>
      </c>
      <c r="AF42" s="12">
        <f t="shared" si="41"/>
        <v>5.628222584160653</v>
      </c>
      <c r="AG42" s="12">
        <f t="shared" si="41"/>
        <v>5.1663904943562216</v>
      </c>
      <c r="AH42" s="12">
        <f t="shared" si="41"/>
        <v>4.702253893653676</v>
      </c>
      <c r="AI42" s="12">
        <f t="shared" si="41"/>
        <v>4.236085665569874</v>
      </c>
      <c r="AJ42" s="12">
        <f t="shared" si="41"/>
        <v>3.768027200186168</v>
      </c>
      <c r="AK42" s="12">
        <f t="shared" si="41"/>
        <v>3.2977829756817982</v>
      </c>
      <c r="AL42" s="12">
        <f t="shared" si="41"/>
        <v>2.823263946557688</v>
      </c>
      <c r="AM42" s="12">
        <f t="shared" si="41"/>
        <v>2.334580913878142</v>
      </c>
      <c r="AN42" s="12">
        <f aca="true" t="shared" si="42" ref="AN42:BG42">AO36-AN36</f>
        <v>1.7888637058681525</v>
      </c>
      <c r="AO42" s="12">
        <f t="shared" si="42"/>
        <v>1.0333129323835806</v>
      </c>
      <c r="AP42" s="12">
        <f t="shared" si="42"/>
        <v>-0.17391351516619125</v>
      </c>
      <c r="AQ42" s="12">
        <f t="shared" si="42"/>
        <v>-1.4996557636246735</v>
      </c>
      <c r="AR42" s="12">
        <f t="shared" si="42"/>
        <v>-2.320653901706578</v>
      </c>
      <c r="AS42" s="12">
        <f t="shared" si="42"/>
        <v>-2.7936127402512625</v>
      </c>
      <c r="AT42" s="12">
        <f t="shared" si="42"/>
        <v>-3.174138552822569</v>
      </c>
      <c r="AU42" s="12">
        <f t="shared" si="42"/>
        <v>-3.5430082311046363</v>
      </c>
      <c r="AV42" s="12">
        <f t="shared" si="42"/>
        <v>-3.9167722924433974</v>
      </c>
      <c r="AW42" s="12">
        <f t="shared" si="42"/>
        <v>-4.297874518445894</v>
      </c>
      <c r="AX42" s="182">
        <f t="shared" si="42"/>
        <v>-68.10890439062189</v>
      </c>
      <c r="AY42" s="12">
        <f t="shared" si="42"/>
        <v>-111.2232955158808</v>
      </c>
      <c r="AZ42" s="12">
        <f t="shared" si="42"/>
        <v>-81.67667212374684</v>
      </c>
      <c r="BA42" s="12">
        <f t="shared" si="42"/>
        <v>-44.01652748311643</v>
      </c>
      <c r="BB42" s="12">
        <f t="shared" si="42"/>
        <v>-24.20125530211613</v>
      </c>
      <c r="BC42" s="14">
        <f t="shared" si="42"/>
        <v>-13.33146162393249</v>
      </c>
      <c r="BD42" s="12">
        <f t="shared" si="42"/>
        <v>-7.2652432042167</v>
      </c>
      <c r="BE42" s="12">
        <f t="shared" si="42"/>
        <v>-3.8798241087202205</v>
      </c>
      <c r="BF42" s="12">
        <f t="shared" si="42"/>
        <v>-2.0156584591249933</v>
      </c>
      <c r="BG42" s="12">
        <f t="shared" si="42"/>
        <v>-1.102043543429345</v>
      </c>
      <c r="BH42" s="19"/>
      <c r="BI42" s="12"/>
      <c r="BJ42" s="12"/>
      <c r="BK42" s="12"/>
      <c r="BL42" s="12"/>
      <c r="BM42" s="12"/>
      <c r="BN42" s="12"/>
      <c r="BO42" s="12"/>
      <c r="BQ42" s="19"/>
    </row>
  </sheetData>
  <sheetProtection sheet="1" selectLockedCells="1"/>
  <mergeCells count="11">
    <mergeCell ref="R11:S11"/>
    <mergeCell ref="C36:E36"/>
    <mergeCell ref="J4:M4"/>
    <mergeCell ref="B5:D5"/>
    <mergeCell ref="AX11:BA11"/>
    <mergeCell ref="K2:N2"/>
    <mergeCell ref="C35:E35"/>
    <mergeCell ref="D22:E22"/>
    <mergeCell ref="D27:E27"/>
    <mergeCell ref="AG10:AH10"/>
    <mergeCell ref="AM10:AN10"/>
  </mergeCells>
  <conditionalFormatting sqref="AQ4">
    <cfRule type="cellIs" priority="1" dxfId="0" operator="equal" stopIfTrue="1">
      <formula>0</formula>
    </cfRule>
  </conditionalFormatting>
  <hyperlinks>
    <hyperlink ref="J4" r:id="rId1" display="http://chodor-projekt.net/encyclopedia/nowy-algorytm-projektowania-zelbetu/"/>
  </hyperlinks>
  <printOptions horizontalCentered="1"/>
  <pageMargins left="0.34" right="0.3937007874015748" top="1.04" bottom="0.4724409448818898" header="0" footer="0"/>
  <pageSetup fitToWidth="2" fitToHeight="1" horizontalDpi="300" verticalDpi="300" orientation="landscape" paperSize="9" scale="30" r:id="rId3"/>
  <drawing r:id="rId2"/>
</worksheet>
</file>

<file path=xl/worksheets/sheet3.xml><?xml version="1.0" encoding="utf-8"?>
<worksheet xmlns="http://schemas.openxmlformats.org/spreadsheetml/2006/main" xmlns:r="http://schemas.openxmlformats.org/officeDocument/2006/relationships">
  <sheetPr codeName="Sheet8">
    <pageSetUpPr fitToPage="1"/>
  </sheetPr>
  <dimension ref="B1:J51"/>
  <sheetViews>
    <sheetView showGridLines="0" zoomScale="75" zoomScaleNormal="75" zoomScalePageLayoutView="0" workbookViewId="0" topLeftCell="A1">
      <selection activeCell="H29" sqref="H29"/>
    </sheetView>
  </sheetViews>
  <sheetFormatPr defaultColWidth="9.140625" defaultRowHeight="12.75"/>
  <cols>
    <col min="1" max="1" width="3.7109375" style="0" customWidth="1"/>
    <col min="2" max="2" width="11.7109375" style="0" customWidth="1"/>
    <col min="3" max="3" width="15.28125" style="0" customWidth="1"/>
    <col min="4" max="4" width="60.7109375" style="0" customWidth="1"/>
  </cols>
  <sheetData>
    <row r="1" spans="2:4" ht="13.5">
      <c r="B1" s="102" t="s">
        <v>242</v>
      </c>
      <c r="C1" s="103"/>
      <c r="D1" s="103"/>
    </row>
    <row r="2" spans="2:4" ht="13.5">
      <c r="B2" s="102"/>
      <c r="C2" s="103"/>
      <c r="D2" s="103"/>
    </row>
    <row r="3" spans="2:4" ht="13.5">
      <c r="B3" s="102" t="s">
        <v>239</v>
      </c>
      <c r="C3" s="103"/>
      <c r="D3" s="103"/>
    </row>
    <row r="4" spans="2:4" ht="12.75">
      <c r="B4" s="350" t="s">
        <v>13</v>
      </c>
      <c r="C4" s="350"/>
      <c r="D4" s="350"/>
    </row>
    <row r="5" spans="2:4" ht="12.75">
      <c r="B5" s="350"/>
      <c r="C5" s="350"/>
      <c r="D5" s="350"/>
    </row>
    <row r="6" spans="2:4" ht="12.75">
      <c r="B6" s="350"/>
      <c r="C6" s="350"/>
      <c r="D6" s="350"/>
    </row>
    <row r="7" spans="2:4" ht="12.75">
      <c r="B7" s="350"/>
      <c r="C7" s="350"/>
      <c r="D7" s="350"/>
    </row>
    <row r="8" spans="2:4" ht="15" customHeight="1">
      <c r="B8" s="350"/>
      <c r="C8" s="350"/>
      <c r="D8" s="350"/>
    </row>
    <row r="9" spans="2:4" ht="12.75">
      <c r="B9" s="350"/>
      <c r="C9" s="350"/>
      <c r="D9" s="350"/>
    </row>
    <row r="10" spans="2:4" ht="12.75">
      <c r="B10" s="350"/>
      <c r="C10" s="350"/>
      <c r="D10" s="350"/>
    </row>
    <row r="11" spans="2:4" ht="44.25" customHeight="1">
      <c r="B11" s="350"/>
      <c r="C11" s="350"/>
      <c r="D11" s="350"/>
    </row>
    <row r="12" spans="2:4" ht="16.5" customHeight="1">
      <c r="B12" s="305"/>
      <c r="C12" s="305"/>
      <c r="D12" s="305"/>
    </row>
    <row r="13" spans="2:4" ht="13.5">
      <c r="B13" s="102" t="s">
        <v>243</v>
      </c>
      <c r="C13" s="103"/>
      <c r="D13" s="103"/>
    </row>
    <row r="14" spans="2:4" ht="12.75">
      <c r="B14" s="350" t="s">
        <v>240</v>
      </c>
      <c r="C14" s="350"/>
      <c r="D14" s="350"/>
    </row>
    <row r="15" spans="2:4" ht="12.75">
      <c r="B15" s="350"/>
      <c r="C15" s="350"/>
      <c r="D15" s="350"/>
    </row>
    <row r="16" spans="2:4" ht="12.75">
      <c r="B16" s="350"/>
      <c r="C16" s="350"/>
      <c r="D16" s="350"/>
    </row>
    <row r="17" spans="2:4" ht="12.75">
      <c r="B17" s="350"/>
      <c r="C17" s="350"/>
      <c r="D17" s="350"/>
    </row>
    <row r="18" spans="2:4" ht="15" customHeight="1">
      <c r="B18" s="350"/>
      <c r="C18" s="350"/>
      <c r="D18" s="350"/>
    </row>
    <row r="19" spans="2:4" ht="12.75">
      <c r="B19" s="350"/>
      <c r="C19" s="350"/>
      <c r="D19" s="350"/>
    </row>
    <row r="20" spans="2:4" ht="12.75">
      <c r="B20" s="350"/>
      <c r="C20" s="350"/>
      <c r="D20" s="350"/>
    </row>
    <row r="21" spans="2:4" ht="13.5">
      <c r="B21" s="104"/>
      <c r="C21" s="104"/>
      <c r="D21" s="104"/>
    </row>
    <row r="22" spans="2:4" ht="13.5">
      <c r="B22" s="102" t="s">
        <v>241</v>
      </c>
      <c r="C22" s="105"/>
      <c r="D22" s="105"/>
    </row>
    <row r="23" spans="2:4" ht="13.5">
      <c r="B23" s="103" t="s">
        <v>238</v>
      </c>
      <c r="C23" s="105"/>
      <c r="D23" s="105"/>
    </row>
    <row r="24" spans="3:4" ht="13.5">
      <c r="C24" s="105"/>
      <c r="D24" s="105"/>
    </row>
    <row r="25" ht="15">
      <c r="B25" s="107" t="s">
        <v>237</v>
      </c>
    </row>
    <row r="26" ht="14.25" thickBot="1">
      <c r="B26" s="107"/>
    </row>
    <row r="27" spans="2:10" ht="18">
      <c r="B27" s="315" t="s">
        <v>18</v>
      </c>
      <c r="C27" s="316" t="s">
        <v>235</v>
      </c>
      <c r="D27" s="317" t="s">
        <v>236</v>
      </c>
      <c r="E27" s="26"/>
      <c r="F27" s="26"/>
      <c r="G27" s="26"/>
      <c r="H27" s="26"/>
      <c r="I27" s="26"/>
      <c r="J27" s="27"/>
    </row>
    <row r="28" spans="2:10" ht="27">
      <c r="B28" s="311">
        <f>DATE(99,8,3)</f>
        <v>36375</v>
      </c>
      <c r="C28" s="309" t="s">
        <v>12</v>
      </c>
      <c r="D28" s="310" t="s">
        <v>11</v>
      </c>
      <c r="E28" s="28"/>
      <c r="F28" s="28"/>
      <c r="G28" s="28"/>
      <c r="H28" s="28"/>
      <c r="I28" s="28"/>
      <c r="J28" s="29"/>
    </row>
    <row r="29" spans="2:10" ht="27.75" thickBot="1">
      <c r="B29" s="312">
        <f>DATE(17,6,25)</f>
        <v>6386</v>
      </c>
      <c r="C29" s="313" t="s">
        <v>233</v>
      </c>
      <c r="D29" s="314" t="s">
        <v>234</v>
      </c>
      <c r="E29" s="28"/>
      <c r="F29" s="28"/>
      <c r="G29" s="28"/>
      <c r="H29" s="28"/>
      <c r="I29" s="28"/>
      <c r="J29" s="29"/>
    </row>
    <row r="30" spans="2:10" ht="18">
      <c r="B30" s="31"/>
      <c r="C30" s="32"/>
      <c r="D30" s="33"/>
      <c r="E30" s="28"/>
      <c r="F30" s="28"/>
      <c r="G30" s="28"/>
      <c r="H30" s="28"/>
      <c r="I30" s="28"/>
      <c r="J30" s="29"/>
    </row>
    <row r="31" spans="2:10" ht="18">
      <c r="B31" s="31"/>
      <c r="C31" s="32"/>
      <c r="D31" s="33"/>
      <c r="E31" s="28"/>
      <c r="F31" s="28"/>
      <c r="G31" s="28"/>
      <c r="H31" s="28"/>
      <c r="I31" s="28"/>
      <c r="J31" s="29"/>
    </row>
    <row r="32" spans="2:10" ht="18">
      <c r="B32" s="31"/>
      <c r="C32" s="32"/>
      <c r="D32" s="33"/>
      <c r="E32" s="28"/>
      <c r="F32" s="28"/>
      <c r="G32" s="28"/>
      <c r="H32" s="28"/>
      <c r="I32" s="28"/>
      <c r="J32" s="29"/>
    </row>
    <row r="33" spans="2:10" ht="18">
      <c r="B33" s="31"/>
      <c r="C33" s="32"/>
      <c r="D33" s="33"/>
      <c r="E33" s="28"/>
      <c r="F33" s="28"/>
      <c r="G33" s="28"/>
      <c r="H33" s="28"/>
      <c r="I33" s="28"/>
      <c r="J33" s="29"/>
    </row>
    <row r="34" spans="2:10" ht="18">
      <c r="B34" s="31"/>
      <c r="C34" s="32"/>
      <c r="D34" s="33"/>
      <c r="E34" s="28"/>
      <c r="F34" s="28"/>
      <c r="G34" s="28"/>
      <c r="H34" s="28"/>
      <c r="I34" s="28"/>
      <c r="J34" s="29"/>
    </row>
    <row r="35" spans="2:10" ht="18">
      <c r="B35" s="31"/>
      <c r="C35" s="32"/>
      <c r="D35" s="33"/>
      <c r="E35" s="28"/>
      <c r="F35" s="28"/>
      <c r="G35" s="28"/>
      <c r="H35" s="28"/>
      <c r="I35" s="28"/>
      <c r="J35" s="29"/>
    </row>
    <row r="36" spans="2:10" ht="18">
      <c r="B36" s="31"/>
      <c r="C36" s="32"/>
      <c r="D36" s="33"/>
      <c r="E36" s="28"/>
      <c r="F36" s="28"/>
      <c r="G36" s="28"/>
      <c r="H36" s="28"/>
      <c r="I36" s="28"/>
      <c r="J36" s="29"/>
    </row>
    <row r="37" spans="2:10" ht="18">
      <c r="B37" s="31"/>
      <c r="C37" s="32"/>
      <c r="D37" s="33"/>
      <c r="E37" s="28"/>
      <c r="F37" s="28"/>
      <c r="G37" s="28"/>
      <c r="H37" s="28"/>
      <c r="I37" s="28"/>
      <c r="J37" s="29"/>
    </row>
    <row r="38" spans="2:10" ht="18">
      <c r="B38" s="31"/>
      <c r="C38" s="32"/>
      <c r="D38" s="33"/>
      <c r="E38" s="28"/>
      <c r="F38" s="28"/>
      <c r="G38" s="28"/>
      <c r="H38" s="28"/>
      <c r="I38" s="28"/>
      <c r="J38" s="29"/>
    </row>
    <row r="39" spans="5:10" ht="18">
      <c r="E39" s="28"/>
      <c r="F39" s="28"/>
      <c r="G39" s="28"/>
      <c r="H39" s="28"/>
      <c r="I39" s="28"/>
      <c r="J39" s="29"/>
    </row>
    <row r="40" spans="2:10" ht="18">
      <c r="B40" s="31"/>
      <c r="C40" s="32"/>
      <c r="D40" s="33"/>
      <c r="E40" s="28"/>
      <c r="F40" s="28"/>
      <c r="G40" s="28"/>
      <c r="H40" s="28"/>
      <c r="I40" s="28"/>
      <c r="J40" s="29"/>
    </row>
    <row r="41" spans="2:10" ht="18">
      <c r="B41" s="31"/>
      <c r="C41" s="32"/>
      <c r="D41" s="33"/>
      <c r="E41" s="28"/>
      <c r="F41" s="28"/>
      <c r="G41" s="28"/>
      <c r="H41" s="28"/>
      <c r="I41" s="28"/>
      <c r="J41" s="29"/>
    </row>
    <row r="42" spans="2:10" ht="18">
      <c r="B42" s="31"/>
      <c r="C42" s="32"/>
      <c r="D42" s="33"/>
      <c r="E42" s="28"/>
      <c r="F42" s="28"/>
      <c r="G42" s="28"/>
      <c r="H42" s="28"/>
      <c r="I42" s="28"/>
      <c r="J42" s="29"/>
    </row>
    <row r="43" spans="2:10" ht="18">
      <c r="B43" s="31"/>
      <c r="C43" s="32"/>
      <c r="D43" s="33"/>
      <c r="E43" s="28"/>
      <c r="F43" s="28"/>
      <c r="G43" s="28"/>
      <c r="H43" s="28"/>
      <c r="I43" s="28"/>
      <c r="J43" s="29"/>
    </row>
    <row r="44" spans="2:10" ht="18">
      <c r="B44" s="31"/>
      <c r="C44" s="32"/>
      <c r="D44" s="33"/>
      <c r="E44" s="28"/>
      <c r="F44" s="28"/>
      <c r="G44" s="28"/>
      <c r="H44" s="28"/>
      <c r="I44" s="28"/>
      <c r="J44" s="29"/>
    </row>
    <row r="45" spans="2:10" ht="18">
      <c r="B45" s="31"/>
      <c r="C45" s="32"/>
      <c r="D45" s="33"/>
      <c r="E45" s="28"/>
      <c r="F45" s="28"/>
      <c r="G45" s="28"/>
      <c r="H45" s="28"/>
      <c r="I45" s="28"/>
      <c r="J45" s="29"/>
    </row>
    <row r="46" spans="2:10" ht="18">
      <c r="B46" s="33"/>
      <c r="C46" s="32"/>
      <c r="D46" s="33"/>
      <c r="E46" s="28"/>
      <c r="F46" s="28"/>
      <c r="G46" s="28"/>
      <c r="H46" s="28"/>
      <c r="I46" s="28"/>
      <c r="J46" s="29"/>
    </row>
    <row r="47" spans="2:10" ht="18">
      <c r="B47" s="28"/>
      <c r="C47" s="30"/>
      <c r="D47" s="28"/>
      <c r="E47" s="28"/>
      <c r="F47" s="28"/>
      <c r="G47" s="28"/>
      <c r="H47" s="28"/>
      <c r="I47" s="28"/>
      <c r="J47" s="29"/>
    </row>
    <row r="48" spans="2:10" ht="18">
      <c r="B48" s="28"/>
      <c r="C48" s="30"/>
      <c r="D48" s="28"/>
      <c r="E48" s="28"/>
      <c r="F48" s="28"/>
      <c r="G48" s="28"/>
      <c r="H48" s="28"/>
      <c r="I48" s="28"/>
      <c r="J48" s="29"/>
    </row>
    <row r="49" spans="2:10" ht="18">
      <c r="B49" s="28"/>
      <c r="C49" s="30"/>
      <c r="D49" s="28"/>
      <c r="E49" s="28"/>
      <c r="F49" s="28"/>
      <c r="G49" s="28"/>
      <c r="H49" s="28"/>
      <c r="I49" s="28"/>
      <c r="J49" s="29"/>
    </row>
    <row r="50" spans="2:10" ht="18">
      <c r="B50" s="27"/>
      <c r="C50" s="34"/>
      <c r="D50" s="27"/>
      <c r="E50" s="27"/>
      <c r="F50" s="27"/>
      <c r="G50" s="27"/>
      <c r="H50" s="27"/>
      <c r="I50" s="27"/>
      <c r="J50" s="27"/>
    </row>
    <row r="51" spans="2:10" ht="18">
      <c r="B51" s="27"/>
      <c r="C51" s="34"/>
      <c r="D51" s="27"/>
      <c r="E51" s="27"/>
      <c r="F51" s="27"/>
      <c r="G51" s="27"/>
      <c r="H51" s="27"/>
      <c r="I51" s="27"/>
      <c r="J51" s="27"/>
    </row>
  </sheetData>
  <sheetProtection password="E6A6" sheet="1" selectLockedCells="1"/>
  <mergeCells count="2">
    <mergeCell ref="B4:D11"/>
    <mergeCell ref="B14:D20"/>
  </mergeCells>
  <printOptions horizontalCentered="1"/>
  <pageMargins left="0.6299212598425197" right="0.3937007874015748" top="0.4724409448818898" bottom="0.4724409448818898" header="0" footer="0"/>
  <pageSetup fitToHeight="1" fitToWidth="1" horizontalDpi="300" verticalDpi="300" orientation="portrait" paperSize="9" scale="47" r:id="rId1"/>
</worksheet>
</file>

<file path=xl/worksheets/sheet4.xml><?xml version="1.0" encoding="utf-8"?>
<worksheet xmlns="http://schemas.openxmlformats.org/spreadsheetml/2006/main" xmlns:r="http://schemas.openxmlformats.org/officeDocument/2006/relationships">
  <dimension ref="B2:V20"/>
  <sheetViews>
    <sheetView zoomScalePageLayoutView="0" workbookViewId="0" topLeftCell="A1">
      <selection activeCell="G46" sqref="G46"/>
    </sheetView>
  </sheetViews>
  <sheetFormatPr defaultColWidth="9.140625" defaultRowHeight="12.75"/>
  <sheetData>
    <row r="2" spans="2:22" ht="12.75">
      <c r="B2" s="36"/>
      <c r="C2" s="35"/>
      <c r="D2" s="35"/>
      <c r="E2" s="35"/>
      <c r="F2" s="35"/>
      <c r="G2" s="35"/>
      <c r="H2" s="35"/>
      <c r="I2" s="35"/>
      <c r="J2" s="35"/>
      <c r="K2" s="35"/>
      <c r="L2" s="35"/>
      <c r="M2" s="35"/>
      <c r="N2" s="35"/>
      <c r="O2" s="35"/>
      <c r="P2" s="35"/>
      <c r="Q2" s="35"/>
      <c r="R2" s="35"/>
      <c r="S2" s="35"/>
      <c r="T2" s="35"/>
      <c r="U2" s="35"/>
      <c r="V2" s="35"/>
    </row>
    <row r="3" spans="2:22" ht="15">
      <c r="B3" s="39" t="str">
        <f>"Wykres interakcji M-N dla  przekroju "&amp;FIXED(Kalkulator!C14,0)&amp;" x "&amp;FIXED(Kalkulator!C15,0)&amp;"  z betonu C"&amp;FIXED(Kalkulator!C10,0)&amp;G4</f>
        <v>Wykres interakcji M-N dla  przekroju 450 x 500  z betonu C35</v>
      </c>
      <c r="C3" s="35"/>
      <c r="D3" s="35"/>
      <c r="E3" s="35"/>
      <c r="F3" s="35"/>
      <c r="G3" s="35"/>
      <c r="H3" s="35"/>
      <c r="I3" s="35"/>
      <c r="J3" s="35"/>
      <c r="K3" s="35"/>
      <c r="L3" s="35"/>
      <c r="M3" s="35"/>
      <c r="N3" s="35"/>
      <c r="O3" s="35"/>
      <c r="P3" s="35"/>
      <c r="Q3" s="35"/>
      <c r="R3" s="35"/>
      <c r="S3" s="35"/>
      <c r="T3" s="35"/>
      <c r="U3" s="35"/>
      <c r="V3" s="35"/>
    </row>
    <row r="4" spans="2:22" ht="15">
      <c r="B4" s="35"/>
      <c r="C4" s="44"/>
      <c r="D4" s="44"/>
      <c r="E4" s="44"/>
      <c r="F4" s="44"/>
      <c r="G4" s="44"/>
      <c r="H4" s="44"/>
      <c r="I4" s="35"/>
      <c r="J4" s="35"/>
      <c r="K4" s="35"/>
      <c r="L4" s="35"/>
      <c r="M4" s="35"/>
      <c r="N4" s="35"/>
      <c r="O4" s="35"/>
      <c r="P4" s="35"/>
      <c r="Q4" s="35"/>
      <c r="R4" s="35"/>
      <c r="S4" s="35"/>
      <c r="T4" s="35"/>
      <c r="U4" s="35"/>
      <c r="V4" s="35"/>
    </row>
    <row r="5" spans="2:22" ht="15">
      <c r="B5" s="235" t="s">
        <v>188</v>
      </c>
      <c r="C5" s="235"/>
      <c r="D5" s="235"/>
      <c r="E5" s="235"/>
      <c r="F5" s="35"/>
      <c r="G5" s="35"/>
      <c r="H5" s="35"/>
      <c r="I5" s="35"/>
      <c r="J5" s="35"/>
      <c r="K5" s="35"/>
      <c r="L5" s="35"/>
      <c r="M5" s="35"/>
      <c r="N5" s="35"/>
      <c r="O5" s="35"/>
      <c r="P5" s="35"/>
      <c r="Q5" s="35"/>
      <c r="R5" s="35"/>
      <c r="S5" s="35"/>
      <c r="T5" s="35"/>
      <c r="U5" s="35"/>
      <c r="V5" s="35"/>
    </row>
    <row r="6" spans="2:22" ht="15">
      <c r="B6" s="50" t="s">
        <v>189</v>
      </c>
      <c r="C6" s="50"/>
      <c r="D6" s="44">
        <f>MAX(1,Kalkulator!C15/Kalkulator!C14)</f>
        <v>1.1111111111111112</v>
      </c>
      <c r="E6" s="44">
        <f>MIN(1,Kalkulator!C15/Kalkulator!C14)</f>
        <v>1</v>
      </c>
      <c r="F6" s="44"/>
      <c r="G6" s="51" t="s">
        <v>190</v>
      </c>
      <c r="H6" s="44">
        <f>(L7-C7)/(Kalkulator!D19-1)</f>
        <v>136.66666666666666</v>
      </c>
      <c r="I6" s="44">
        <f>(L7-C7)/(Kalkulator!D20-1)</f>
        <v>136.66666666666666</v>
      </c>
      <c r="J6" s="35"/>
      <c r="K6" s="35"/>
      <c r="L6" s="35"/>
      <c r="M6" s="35"/>
      <c r="N6" s="35"/>
      <c r="O6" s="35"/>
      <c r="P6" s="35"/>
      <c r="Q6" s="35"/>
      <c r="R6" s="35"/>
      <c r="S6" s="35"/>
      <c r="T6" s="35"/>
      <c r="U6" s="35"/>
      <c r="V6" s="35"/>
    </row>
    <row r="7" spans="2:22" ht="15">
      <c r="B7" s="52">
        <f>B10+15</f>
        <v>45</v>
      </c>
      <c r="C7" s="52">
        <f>B7</f>
        <v>45</v>
      </c>
      <c r="D7" s="53">
        <f aca="true" t="shared" si="0" ref="D7:K7">MIN($L7,C7+$H6)</f>
        <v>181.66666666666666</v>
      </c>
      <c r="E7" s="53">
        <f t="shared" si="0"/>
        <v>318.3333333333333</v>
      </c>
      <c r="F7" s="53">
        <f t="shared" si="0"/>
        <v>455</v>
      </c>
      <c r="G7" s="53">
        <f t="shared" si="0"/>
        <v>455</v>
      </c>
      <c r="H7" s="53">
        <f t="shared" si="0"/>
        <v>455</v>
      </c>
      <c r="I7" s="53">
        <f t="shared" si="0"/>
        <v>455</v>
      </c>
      <c r="J7" s="53">
        <f t="shared" si="0"/>
        <v>455</v>
      </c>
      <c r="K7" s="53">
        <f t="shared" si="0"/>
        <v>455</v>
      </c>
      <c r="L7" s="52">
        <f>D10-15</f>
        <v>455</v>
      </c>
      <c r="M7" s="52">
        <f>L7</f>
        <v>455</v>
      </c>
      <c r="N7" s="53">
        <f aca="true" t="shared" si="1" ref="N7:U7">MAX($V7,M7-$I6)</f>
        <v>318.33333333333337</v>
      </c>
      <c r="O7" s="53">
        <f t="shared" si="1"/>
        <v>181.6666666666667</v>
      </c>
      <c r="P7" s="53">
        <f t="shared" si="1"/>
        <v>45.00000000000006</v>
      </c>
      <c r="Q7" s="53">
        <f t="shared" si="1"/>
        <v>45</v>
      </c>
      <c r="R7" s="53">
        <f t="shared" si="1"/>
        <v>45</v>
      </c>
      <c r="S7" s="53">
        <f t="shared" si="1"/>
        <v>45</v>
      </c>
      <c r="T7" s="53">
        <f t="shared" si="1"/>
        <v>45</v>
      </c>
      <c r="U7" s="53">
        <f t="shared" si="1"/>
        <v>45</v>
      </c>
      <c r="V7" s="52">
        <f>B7</f>
        <v>45</v>
      </c>
    </row>
    <row r="8" spans="2:22" ht="15">
      <c r="B8" s="52">
        <f>B11+15</f>
        <v>45</v>
      </c>
      <c r="C8" s="52">
        <f>C11-15</f>
        <v>405</v>
      </c>
      <c r="D8" s="53">
        <f aca="true" t="shared" si="2" ref="D8:K8">C8</f>
        <v>405</v>
      </c>
      <c r="E8" s="53">
        <f t="shared" si="2"/>
        <v>405</v>
      </c>
      <c r="F8" s="53">
        <f t="shared" si="2"/>
        <v>405</v>
      </c>
      <c r="G8" s="53">
        <f t="shared" si="2"/>
        <v>405</v>
      </c>
      <c r="H8" s="53">
        <f t="shared" si="2"/>
        <v>405</v>
      </c>
      <c r="I8" s="53">
        <f t="shared" si="2"/>
        <v>405</v>
      </c>
      <c r="J8" s="53">
        <f t="shared" si="2"/>
        <v>405</v>
      </c>
      <c r="K8" s="53">
        <f t="shared" si="2"/>
        <v>405</v>
      </c>
      <c r="L8" s="52">
        <f>C8</f>
        <v>405</v>
      </c>
      <c r="M8" s="52">
        <f>B8</f>
        <v>45</v>
      </c>
      <c r="N8" s="53">
        <f aca="true" t="shared" si="3" ref="N8:U8">M8</f>
        <v>45</v>
      </c>
      <c r="O8" s="53">
        <f t="shared" si="3"/>
        <v>45</v>
      </c>
      <c r="P8" s="53">
        <f t="shared" si="3"/>
        <v>45</v>
      </c>
      <c r="Q8" s="53">
        <f t="shared" si="3"/>
        <v>45</v>
      </c>
      <c r="R8" s="53">
        <f t="shared" si="3"/>
        <v>45</v>
      </c>
      <c r="S8" s="53">
        <f t="shared" si="3"/>
        <v>45</v>
      </c>
      <c r="T8" s="53">
        <f t="shared" si="3"/>
        <v>45</v>
      </c>
      <c r="U8" s="53">
        <f t="shared" si="3"/>
        <v>45</v>
      </c>
      <c r="V8" s="52">
        <f>B8</f>
        <v>45</v>
      </c>
    </row>
    <row r="9" spans="2:22" ht="15">
      <c r="B9" s="52"/>
      <c r="C9" s="52"/>
      <c r="D9" s="53"/>
      <c r="E9" s="53"/>
      <c r="F9" s="53"/>
      <c r="G9" s="53"/>
      <c r="H9" s="53"/>
      <c r="I9" s="53"/>
      <c r="J9" s="53"/>
      <c r="K9" s="53"/>
      <c r="L9" s="52"/>
      <c r="M9" s="52"/>
      <c r="N9" s="53"/>
      <c r="O9" s="53"/>
      <c r="P9" s="53"/>
      <c r="Q9" s="53"/>
      <c r="R9" s="53"/>
      <c r="S9" s="53"/>
      <c r="T9" s="53"/>
      <c r="U9" s="53"/>
      <c r="V9" s="52"/>
    </row>
    <row r="10" spans="2:22" ht="15">
      <c r="B10" s="44">
        <f>c_r</f>
        <v>30</v>
      </c>
      <c r="C10" s="44">
        <f>B10</f>
        <v>30</v>
      </c>
      <c r="D10" s="44">
        <f>D12-Kalkulator!F16</f>
        <v>470</v>
      </c>
      <c r="E10" s="44">
        <f>D10</f>
        <v>470</v>
      </c>
      <c r="F10" s="44">
        <f>B10</f>
        <v>30</v>
      </c>
      <c r="G10" s="35"/>
      <c r="H10" s="35"/>
      <c r="I10" s="35"/>
      <c r="J10" s="35"/>
      <c r="K10" s="35"/>
      <c r="L10" s="35"/>
      <c r="M10" s="35"/>
      <c r="N10" s="35"/>
      <c r="O10" s="35"/>
      <c r="P10" s="35"/>
      <c r="Q10" s="35"/>
      <c r="R10" s="35"/>
      <c r="S10" s="35"/>
      <c r="T10" s="35"/>
      <c r="U10" s="35"/>
      <c r="V10" s="35"/>
    </row>
    <row r="11" spans="2:22" ht="15">
      <c r="B11" s="44">
        <f>Kalkulator!F15</f>
        <v>30</v>
      </c>
      <c r="C11" s="44">
        <f>C13-Kalkulator!F14</f>
        <v>420</v>
      </c>
      <c r="D11" s="44">
        <f>C11</f>
        <v>420</v>
      </c>
      <c r="E11" s="44">
        <f>F11</f>
        <v>30</v>
      </c>
      <c r="F11" s="44">
        <f>B11</f>
        <v>30</v>
      </c>
      <c r="G11" s="53"/>
      <c r="H11" s="53"/>
      <c r="I11" s="53"/>
      <c r="J11" s="53"/>
      <c r="K11" s="53"/>
      <c r="L11" s="53"/>
      <c r="M11" s="52"/>
      <c r="N11" s="52"/>
      <c r="O11" s="53"/>
      <c r="P11" s="53"/>
      <c r="Q11" s="53"/>
      <c r="R11" s="53"/>
      <c r="S11" s="53"/>
      <c r="T11" s="53"/>
      <c r="U11" s="53"/>
      <c r="V11" s="53"/>
    </row>
    <row r="12" spans="2:22" ht="15">
      <c r="B12" s="44">
        <v>0</v>
      </c>
      <c r="C12" s="44">
        <v>0</v>
      </c>
      <c r="D12" s="44">
        <f>b</f>
        <v>500</v>
      </c>
      <c r="E12" s="44">
        <f>b</f>
        <v>500</v>
      </c>
      <c r="F12" s="44">
        <v>0</v>
      </c>
      <c r="G12" s="44"/>
      <c r="H12" s="44"/>
      <c r="I12" s="35"/>
      <c r="J12" s="35"/>
      <c r="K12" s="35"/>
      <c r="L12" s="35"/>
      <c r="M12" s="35"/>
      <c r="N12" s="35"/>
      <c r="O12" s="35"/>
      <c r="P12" s="35"/>
      <c r="Q12" s="35"/>
      <c r="R12" s="35"/>
      <c r="S12" s="44"/>
      <c r="T12" s="44"/>
      <c r="U12" s="44"/>
      <c r="V12" s="35"/>
    </row>
    <row r="13" spans="2:22" ht="15">
      <c r="B13" s="44">
        <v>0</v>
      </c>
      <c r="C13" s="44">
        <f>h</f>
        <v>450</v>
      </c>
      <c r="D13" s="44">
        <f>h</f>
        <v>450</v>
      </c>
      <c r="E13" s="44">
        <v>0</v>
      </c>
      <c r="F13" s="44">
        <v>0</v>
      </c>
      <c r="G13" s="44"/>
      <c r="H13" s="44"/>
      <c r="I13" s="35"/>
      <c r="J13" s="35"/>
      <c r="K13" s="35"/>
      <c r="L13" s="35"/>
      <c r="M13" s="35"/>
      <c r="N13" s="35"/>
      <c r="O13" s="35"/>
      <c r="P13" s="35"/>
      <c r="Q13" s="35"/>
      <c r="R13" s="35"/>
      <c r="S13" s="44"/>
      <c r="T13" s="44"/>
      <c r="U13" s="44"/>
      <c r="V13" s="35"/>
    </row>
    <row r="15" ht="15">
      <c r="B15" s="235" t="s">
        <v>231</v>
      </c>
    </row>
    <row r="16" ht="12.75">
      <c r="B16" s="308" t="s">
        <v>211</v>
      </c>
    </row>
    <row r="17" ht="12.75">
      <c r="B17" s="303" t="s">
        <v>209</v>
      </c>
    </row>
    <row r="18" ht="12.75">
      <c r="B18" s="303" t="s">
        <v>212</v>
      </c>
    </row>
    <row r="19" ht="13.5" thickBot="1">
      <c r="B19" s="304" t="s">
        <v>210</v>
      </c>
    </row>
    <row r="20" ht="13.5" thickBot="1">
      <c r="B20" s="307">
        <v>4</v>
      </c>
    </row>
  </sheetData>
  <sheetProtection password="E6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Concrete Innovation &amp; Design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 Webster</dc:creator>
  <cp:keywords/>
  <dc:description/>
  <cp:lastModifiedBy>Admin</cp:lastModifiedBy>
  <cp:lastPrinted>2017-06-29T09:04:28Z</cp:lastPrinted>
  <dcterms:created xsi:type="dcterms:W3CDTF">1998-02-24T15:57:17Z</dcterms:created>
  <dcterms:modified xsi:type="dcterms:W3CDTF">2017-08-06T16:22:40Z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