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-240" windowWidth="14220" windowHeight="12615" tabRatio="783"/>
  </bookViews>
  <sheets>
    <sheet name="suwnica OK Sedlacek" sheetId="21" r:id="rId1"/>
  </sheets>
  <definedNames>
    <definedName name="emin" localSheetId="0">'suwnica OK Sedlacek'!$J$28</definedName>
    <definedName name="emin">#REF!</definedName>
    <definedName name="Ls" localSheetId="0">'suwnica OK Sedlacek'!$J$26</definedName>
    <definedName name="Ls">#REF!</definedName>
    <definedName name="n" localSheetId="0">'suwnica OK Sedlacek'!$J$30</definedName>
    <definedName name="n">#REF!</definedName>
    <definedName name="_xlnm.Print_Area" localSheetId="0">'suwnica OK Sedlacek'!$A$1:$M$228</definedName>
    <definedName name="Qh" localSheetId="0">'suwnica OK Sedlacek'!$J$32</definedName>
    <definedName name="Qh">#REF!</definedName>
    <definedName name="Qs" localSheetId="0">'suwnica OK Sedlacek'!$J$33</definedName>
    <definedName name="Qs">#REF!</definedName>
    <definedName name="Qw" localSheetId="0">'suwnica OK Sedlacek'!$J$34</definedName>
    <definedName name="Qw">#REF!</definedName>
    <definedName name="R_" localSheetId="0">'suwnica OK Sedlacek'!$J$27</definedName>
    <definedName name="R_">#REF!</definedName>
    <definedName name="φ1" localSheetId="0">'suwnica OK Sedlacek'!$J$62</definedName>
    <definedName name="φ1">#REF!</definedName>
    <definedName name="φ2" localSheetId="0">'suwnica OK Sedlacek'!$J$64</definedName>
    <definedName name="φ2">#REF!</definedName>
    <definedName name="φ3" localSheetId="0">'suwnica OK Sedlacek'!$J$65</definedName>
    <definedName name="φ3">#REF!</definedName>
    <definedName name="φ4" localSheetId="0">'suwnica OK Sedlacek'!$J$66</definedName>
    <definedName name="φ4">#REF!</definedName>
    <definedName name="φ5" localSheetId="0">'suwnica OK Sedlacek'!$J$68</definedName>
    <definedName name="φ5">#REF!</definedName>
  </definedNames>
  <calcPr calcId="145621"/>
</workbook>
</file>

<file path=xl/calcChain.xml><?xml version="1.0" encoding="utf-8"?>
<calcChain xmlns="http://schemas.openxmlformats.org/spreadsheetml/2006/main">
  <c r="C215" i="21" l="1"/>
  <c r="C209" i="21"/>
  <c r="D207" i="21"/>
  <c r="J58" i="21" s="1"/>
  <c r="H165" i="21"/>
  <c r="J170" i="21"/>
  <c r="C132" i="21"/>
  <c r="C131" i="21"/>
  <c r="C130" i="21"/>
  <c r="C126" i="21"/>
  <c r="C125" i="21"/>
  <c r="C124" i="21"/>
  <c r="C119" i="21"/>
  <c r="C118" i="21"/>
  <c r="C103" i="21"/>
  <c r="C102" i="21"/>
  <c r="C98" i="21"/>
  <c r="C97" i="21"/>
  <c r="J39" i="21"/>
  <c r="J64" i="21" s="1"/>
  <c r="C120" i="21" s="1"/>
  <c r="J171" i="21" l="1"/>
  <c r="J172" i="21" s="1"/>
  <c r="G105" i="21"/>
  <c r="G104" i="21"/>
  <c r="G100" i="21"/>
  <c r="J143" i="21" s="1"/>
  <c r="G99" i="21"/>
  <c r="G134" i="21"/>
  <c r="C134" i="21" s="1"/>
  <c r="G133" i="21"/>
  <c r="C133" i="21" s="1"/>
  <c r="C216" i="21"/>
  <c r="C104" i="21"/>
  <c r="C105" i="21"/>
  <c r="F46" i="21" l="1"/>
  <c r="J49" i="21"/>
  <c r="J145" i="21"/>
  <c r="J148" i="21" s="1"/>
  <c r="H50" i="21" s="1"/>
  <c r="I49" i="21"/>
  <c r="G127" i="21"/>
  <c r="C99" i="21"/>
  <c r="G121" i="21"/>
  <c r="G122" i="21"/>
  <c r="C100" i="21"/>
  <c r="G128" i="21"/>
  <c r="H49" i="21"/>
  <c r="E46" i="21"/>
  <c r="I47" i="21"/>
  <c r="H47" i="21"/>
  <c r="J47" i="21"/>
  <c r="G47" i="21"/>
  <c r="I46" i="21"/>
  <c r="G46" i="21"/>
  <c r="J46" i="21"/>
  <c r="H46" i="21"/>
  <c r="F47" i="21"/>
  <c r="E47" i="21"/>
  <c r="J153" i="21"/>
  <c r="F50" i="21" l="1"/>
  <c r="E51" i="21"/>
  <c r="G50" i="21"/>
  <c r="F51" i="21"/>
  <c r="G51" i="21"/>
  <c r="H51" i="21"/>
  <c r="C121" i="21"/>
  <c r="E49" i="21"/>
  <c r="E50" i="21"/>
  <c r="C128" i="21"/>
  <c r="F48" i="21"/>
  <c r="C122" i="21"/>
  <c r="E48" i="21"/>
  <c r="C127" i="21"/>
  <c r="F49" i="21"/>
  <c r="C218" i="21"/>
  <c r="J48" i="21"/>
  <c r="H48" i="21"/>
  <c r="I48" i="21"/>
  <c r="C217" i="21"/>
  <c r="J154" i="21"/>
  <c r="C189" i="21"/>
  <c r="I55" i="21" s="1"/>
  <c r="C188" i="21"/>
  <c r="I54" i="21" s="1"/>
  <c r="J156" i="21" l="1"/>
  <c r="J157" i="21" s="1"/>
  <c r="J160" i="21" s="1"/>
  <c r="J155" i="21"/>
  <c r="J159" i="21" s="1"/>
  <c r="J168" i="21" l="1"/>
  <c r="F53" i="21"/>
  <c r="E53" i="21"/>
  <c r="H53" i="21"/>
  <c r="G53" i="21"/>
  <c r="J186" i="21" l="1"/>
  <c r="D204" i="21" s="1"/>
  <c r="H204" i="21" s="1"/>
  <c r="J180" i="21"/>
  <c r="J183" i="21"/>
  <c r="J179" i="21"/>
  <c r="D197" i="21" s="1"/>
  <c r="J182" i="21"/>
  <c r="D200" i="21" s="1"/>
  <c r="J185" i="21"/>
  <c r="D203" i="21" s="1"/>
  <c r="J173" i="21"/>
  <c r="D192" i="21" s="1"/>
  <c r="J177" i="21"/>
  <c r="J176" i="21"/>
  <c r="D194" i="21" s="1"/>
  <c r="F52" i="21"/>
  <c r="E52" i="21"/>
  <c r="H52" i="21"/>
  <c r="G52" i="21"/>
  <c r="D195" i="21" l="1"/>
  <c r="H197" i="21" s="1"/>
  <c r="D201" i="21"/>
  <c r="H203" i="21" s="1"/>
  <c r="D198" i="21"/>
  <c r="H198" i="21" s="1"/>
  <c r="H194" i="21"/>
  <c r="I56" i="21" s="1"/>
  <c r="H201" i="21" l="1"/>
  <c r="H200" i="21"/>
  <c r="H195" i="21"/>
  <c r="I57" i="21" s="1"/>
</calcChain>
</file>

<file path=xl/sharedStrings.xml><?xml version="1.0" encoding="utf-8"?>
<sst xmlns="http://schemas.openxmlformats.org/spreadsheetml/2006/main" count="438" uniqueCount="209">
  <si>
    <t>n=</t>
  </si>
  <si>
    <t>Rozpiętość mostu suwnicy</t>
  </si>
  <si>
    <t xml:space="preserve">Udźwig suwnicy </t>
  </si>
  <si>
    <t>[kN]</t>
  </si>
  <si>
    <t>Rozstaw kół</t>
  </si>
  <si>
    <t>Skrajne położenie haka</t>
  </si>
  <si>
    <r>
      <t>v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>=</t>
    </r>
  </si>
  <si>
    <t>Liczba par kół</t>
  </si>
  <si>
    <t>Siły napędu</t>
  </si>
  <si>
    <t>`</t>
  </si>
  <si>
    <r>
      <t>n</t>
    </r>
    <r>
      <rPr>
        <vertAlign val="subscript"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>=</t>
    </r>
  </si>
  <si>
    <r>
      <t>m</t>
    </r>
    <r>
      <rPr>
        <vertAlign val="subscript"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>=</t>
    </r>
  </si>
  <si>
    <t>Masa suwnicy</t>
  </si>
  <si>
    <t>Masa wózka</t>
  </si>
  <si>
    <r>
      <t>Q</t>
    </r>
    <r>
      <rPr>
        <vertAlign val="subscript"/>
        <sz val="10"/>
        <rFont val="Arial"/>
        <family val="2"/>
        <charset val="238"/>
      </rPr>
      <t>r,(min)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</si>
  <si>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r,min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</si>
  <si>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r,(max)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</si>
  <si>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r,max</t>
    </r>
    <r>
      <rPr>
        <sz val="10"/>
        <rFont val="Arial"/>
        <family val="2"/>
        <charset val="238"/>
      </rPr>
      <t>=</t>
    </r>
  </si>
  <si>
    <t>Grupa obciążeń</t>
  </si>
  <si>
    <t>współczynnik tarcia stal - stal:</t>
  </si>
  <si>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>=</t>
    </r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r,max</t>
    </r>
    <r>
      <rPr>
        <sz val="10"/>
        <rFont val="Arial"/>
        <family val="2"/>
        <charset val="238"/>
      </rPr>
      <t>+</t>
    </r>
    <r>
      <rPr>
        <sz val="10"/>
        <rFont val="Czcionka tekstu podstawowego"/>
        <charset val="238"/>
      </rPr>
      <t>∑Q</t>
    </r>
    <r>
      <rPr>
        <vertAlign val="subscript"/>
        <sz val="10"/>
        <rFont val="Czcionka tekstu podstawowego"/>
        <charset val="238"/>
      </rPr>
      <t>r,(max)</t>
    </r>
    <r>
      <rPr>
        <sz val="10"/>
        <rFont val="Arial"/>
        <family val="2"/>
        <charset val="238"/>
      </rPr>
      <t>=</t>
    </r>
  </si>
  <si>
    <t>moment napędu</t>
  </si>
  <si>
    <r>
      <t>M=Kl</t>
    </r>
    <r>
      <rPr>
        <vertAlign val="subscript"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</si>
  <si>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L,1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</si>
  <si>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L,2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</si>
  <si>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T,1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</si>
  <si>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T,2</t>
    </r>
    <r>
      <rPr>
        <sz val="10"/>
        <rFont val="Arial"/>
        <family val="2"/>
        <charset val="238"/>
      </rPr>
      <t>=</t>
    </r>
  </si>
  <si>
    <t>Przyśpieszenie mostu suwnicy</t>
  </si>
  <si>
    <r>
      <t>e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</si>
  <si>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S1T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</si>
  <si>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S2T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</si>
  <si>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S1L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</si>
  <si>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S2L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</si>
  <si>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T3</t>
    </r>
    <r>
      <rPr>
        <sz val="10"/>
        <rFont val="Arial"/>
        <family val="2"/>
        <charset val="238"/>
      </rPr>
      <t>=</t>
    </r>
  </si>
  <si>
    <t>Zukosowanie mostu suwnicy</t>
  </si>
  <si>
    <t>Przyśpieszenie wózka</t>
  </si>
  <si>
    <t>Zestawienie obciążeń wg grup obciążeń:</t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</si>
  <si>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=</t>
    </r>
  </si>
  <si>
    <r>
      <t xml:space="preserve"> </t>
    </r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2,min</t>
    </r>
    <r>
      <rPr>
        <sz val="10"/>
        <rFont val="Arial"/>
        <family val="2"/>
        <charset val="238"/>
      </rPr>
      <t>=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</si>
  <si>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=φ</t>
    </r>
    <r>
      <rPr>
        <vertAlign val="subscript"/>
        <sz val="10"/>
        <rFont val="Arial"/>
        <family val="2"/>
        <charset val="238"/>
      </rPr>
      <t>2,min</t>
    </r>
    <r>
      <rPr>
        <sz val="10"/>
        <rFont val="Arial"/>
        <family val="2"/>
        <charset val="238"/>
      </rPr>
      <t>+β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v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>=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</si>
  <si>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=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</si>
  <si>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=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</si>
  <si>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=</t>
    </r>
  </si>
  <si>
    <r>
      <t xml:space="preserve"> </t>
    </r>
    <r>
      <rPr>
        <sz val="10"/>
        <rFont val="Times New Roman"/>
        <family val="1"/>
        <charset val="238"/>
      </rPr>
      <t>β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=</t>
    </r>
  </si>
  <si>
    <r>
      <rPr>
        <sz val="10"/>
        <rFont val="Times New Roman"/>
        <family val="1"/>
        <charset val="238"/>
      </rPr>
      <t>−</t>
    </r>
  </si>
  <si>
    <r>
      <t>Q</t>
    </r>
    <r>
      <rPr>
        <vertAlign val="subscript"/>
        <sz val="10"/>
        <rFont val="Arial"/>
        <family val="2"/>
        <charset val="238"/>
      </rPr>
      <t>h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</si>
  <si>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=1,10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</si>
  <si>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=1,50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</si>
  <si>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=1,00</t>
    </r>
  </si>
  <si>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Q*</t>
    </r>
    <r>
      <rPr>
        <vertAlign val="subscript"/>
        <sz val="10"/>
        <rFont val="Arial"/>
        <family val="2"/>
        <charset val="238"/>
      </rPr>
      <t>r,min</t>
    </r>
    <r>
      <rPr>
        <sz val="10"/>
        <rFont val="Arial"/>
        <family val="2"/>
        <charset val="238"/>
      </rPr>
      <t>=m</t>
    </r>
    <r>
      <rPr>
        <vertAlign val="subscript"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r,min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</si>
  <si>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L,1</t>
    </r>
    <r>
      <rPr>
        <sz val="10"/>
        <rFont val="Arial"/>
        <family val="2"/>
        <charset val="238"/>
      </rPr>
      <t>=H</t>
    </r>
    <r>
      <rPr>
        <vertAlign val="subscript"/>
        <sz val="10"/>
        <rFont val="Arial"/>
        <family val="2"/>
        <charset val="238"/>
      </rPr>
      <t>L,2</t>
    </r>
    <r>
      <rPr>
        <sz val="10"/>
        <rFont val="Arial"/>
        <family val="2"/>
        <charset val="238"/>
      </rPr>
      <t>=φ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(K/n</t>
    </r>
    <r>
      <rPr>
        <vertAlign val="subscript"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>)=</t>
    </r>
  </si>
  <si>
    <t>Liczba belek toru jezdnego:</t>
  </si>
  <si>
    <t>EC1-P3: 2.7.2(3)</t>
  </si>
  <si>
    <t>przyjęto kąt zukosowania:</t>
  </si>
  <si>
    <t>Siły podłużne:</t>
  </si>
  <si>
    <t>Siły pionowe</t>
  </si>
  <si>
    <t>Siły poziome</t>
  </si>
  <si>
    <t>μ=</t>
  </si>
  <si>
    <r>
      <rPr>
        <sz val="10"/>
        <rFont val="Czcionka tekstu podstawowego"/>
        <charset val="238"/>
      </rPr>
      <t>K=μ∑Q*</t>
    </r>
    <r>
      <rPr>
        <vertAlign val="subscript"/>
        <sz val="10"/>
        <rFont val="Arial"/>
        <family val="2"/>
        <charset val="238"/>
      </rPr>
      <t>r,min</t>
    </r>
    <r>
      <rPr>
        <sz val="10"/>
        <rFont val="Arial"/>
        <family val="2"/>
        <charset val="238"/>
      </rPr>
      <t>=</t>
    </r>
  </si>
  <si>
    <r>
      <rPr>
        <sz val="10"/>
        <rFont val="Arial"/>
        <family val="2"/>
        <charset val="238"/>
      </rPr>
      <t>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=</t>
    </r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r,max</t>
    </r>
    <r>
      <rPr>
        <sz val="10"/>
        <rFont val="Arial"/>
        <family val="2"/>
        <charset val="238"/>
      </rPr>
      <t>/</t>
    </r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>=</t>
    </r>
  </si>
  <si>
    <r>
      <rPr>
        <sz val="10"/>
        <rFont val="Arial"/>
        <family val="2"/>
        <charset val="238"/>
      </rPr>
      <t>ξ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=1-ξ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=</t>
    </r>
    <r>
      <rPr>
        <sz val="10"/>
        <rFont val="Czcionka tekstu podstawowego"/>
        <charset val="238"/>
      </rPr>
      <t/>
    </r>
  </si>
  <si>
    <r>
      <t>H</t>
    </r>
    <r>
      <rPr>
        <vertAlign val="subscript"/>
        <sz val="10"/>
        <rFont val="Arial"/>
        <family val="2"/>
        <charset val="238"/>
      </rPr>
      <t>T,1</t>
    </r>
    <r>
      <rPr>
        <sz val="10"/>
        <rFont val="Arial"/>
        <family val="2"/>
        <charset val="238"/>
      </rPr>
      <t>=φ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ξ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(M/R)=</t>
    </r>
  </si>
  <si>
    <r>
      <t>H</t>
    </r>
    <r>
      <rPr>
        <vertAlign val="subscript"/>
        <sz val="10"/>
        <rFont val="Arial"/>
        <family val="2"/>
        <charset val="238"/>
      </rPr>
      <t>T,2</t>
    </r>
    <r>
      <rPr>
        <sz val="10"/>
        <rFont val="Arial"/>
        <family val="2"/>
        <charset val="238"/>
      </rPr>
      <t>=φ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(M/R)=</t>
    </r>
  </si>
  <si>
    <t>α=</t>
  </si>
  <si>
    <r>
      <t>f=0,3(1</t>
    </r>
    <r>
      <rPr>
        <sz val="10"/>
        <rFont val="Times New Roman"/>
        <family val="1"/>
        <charset val="238"/>
      </rPr>
      <t>−</t>
    </r>
    <r>
      <rPr>
        <sz val="10"/>
        <rFont val="Arial"/>
        <family val="2"/>
        <charset val="238"/>
      </rPr>
      <t>exp(−250α))=</t>
    </r>
  </si>
  <si>
    <r>
      <t>l</t>
    </r>
    <r>
      <rPr>
        <vertAlign val="subscript"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>=(ξ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-0,5)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L</t>
    </r>
    <r>
      <rPr>
        <vertAlign val="subscript"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>=</t>
    </r>
  </si>
  <si>
    <t>≤</t>
  </si>
  <si>
    <t>Wsp. dynam.</t>
  </si>
  <si>
    <t>Jazda po szynach:</t>
  </si>
  <si>
    <t>ciężar podnoszony i własny dźwignicy</t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</si>
  <si>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1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</si>
  <si>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2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</si>
  <si>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3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</si>
  <si>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4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</si>
  <si>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5</t>
    </r>
  </si>
  <si>
    <t>Dane podstawowe</t>
  </si>
  <si>
    <r>
      <t>L</t>
    </r>
    <r>
      <rPr>
        <sz val="10"/>
        <rFont val="Arial"/>
        <family val="2"/>
        <charset val="238"/>
      </rPr>
      <t>=</t>
    </r>
  </si>
  <si>
    <t>m</t>
  </si>
  <si>
    <t>kN</t>
  </si>
  <si>
    <r>
      <t>e</t>
    </r>
    <r>
      <rPr>
        <vertAlign val="subscript"/>
        <sz val="10"/>
        <rFont val="Arial"/>
        <family val="2"/>
        <charset val="238"/>
      </rPr>
      <t>min</t>
    </r>
    <r>
      <rPr>
        <sz val="10"/>
        <rFont val="Arial"/>
        <family val="2"/>
        <charset val="238"/>
      </rPr>
      <t>=e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=e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=</t>
    </r>
  </si>
  <si>
    <t>Wspólczynniki dynamiczne</t>
  </si>
  <si>
    <t>Poderwanie ładunku z podłoża:</t>
  </si>
  <si>
    <t>m/min</t>
  </si>
  <si>
    <t xml:space="preserve"> </t>
  </si>
  <si>
    <t>Obciążenia poziome</t>
  </si>
  <si>
    <t>kNm</t>
  </si>
  <si>
    <t>rad</t>
  </si>
  <si>
    <t>Zestawienie oddziaływań suwnicy natorowej PN-EN 1993-3</t>
  </si>
  <si>
    <t>Tabl. 2.4</t>
  </si>
  <si>
    <t>m/s</t>
  </si>
  <si>
    <t>Tabl. 2.4, 2.5</t>
  </si>
  <si>
    <t>Tabl. 2.6</t>
  </si>
  <si>
    <t>Tabl. 3.1.</t>
  </si>
  <si>
    <t>SGU</t>
  </si>
  <si>
    <t>Rozdz. 2.6</t>
  </si>
  <si>
    <t>Rozdz. 2.7</t>
  </si>
  <si>
    <t>2.7.3(3)</t>
  </si>
  <si>
    <t xml:space="preserve"> 2.7.3(4)</t>
  </si>
  <si>
    <t>2.7.2(2)</t>
  </si>
  <si>
    <t>odległość środka ciężkości układu</t>
  </si>
  <si>
    <t>a=</t>
  </si>
  <si>
    <r>
      <t>Q</t>
    </r>
    <r>
      <rPr>
        <vertAlign val="subscript"/>
        <sz val="10"/>
        <rFont val="Arial"/>
        <family val="2"/>
        <charset val="238"/>
      </rPr>
      <t>h,nom</t>
    </r>
    <r>
      <rPr>
        <sz val="10"/>
        <rFont val="Arial"/>
        <family val="2"/>
        <charset val="238"/>
      </rPr>
      <t>=</t>
    </r>
  </si>
  <si>
    <t xml:space="preserve">ciężar własny dźwignicy   </t>
  </si>
  <si>
    <r>
      <t>ciężar podnoszony (</t>
    </r>
    <r>
      <rPr>
        <b/>
        <sz val="10"/>
        <rFont val="Arial"/>
        <family val="2"/>
        <charset val="238"/>
      </rPr>
      <t>HC3</t>
    </r>
    <r>
      <rPr>
        <sz val="10"/>
        <rFont val="Arial"/>
        <family val="2"/>
        <charset val="238"/>
      </rPr>
      <t>)</t>
    </r>
  </si>
  <si>
    <t>poderwanie ładunku z podłoża</t>
  </si>
  <si>
    <t>zwolnienie ładunku</t>
  </si>
  <si>
    <t>Nacisk kół (z dokumentacji dźwignicy)</t>
  </si>
  <si>
    <r>
      <t>R</t>
    </r>
    <r>
      <rPr>
        <vertAlign val="subscript"/>
        <sz val="10"/>
        <rFont val="Arial"/>
        <family val="2"/>
        <charset val="238"/>
      </rPr>
      <t>max</t>
    </r>
    <r>
      <rPr>
        <sz val="10"/>
        <rFont val="Arial"/>
        <family val="2"/>
        <charset val="238"/>
      </rPr>
      <t>=</t>
    </r>
  </si>
  <si>
    <r>
      <t>R</t>
    </r>
    <r>
      <rPr>
        <vertAlign val="subscript"/>
        <sz val="10"/>
        <rFont val="Arial"/>
        <family val="2"/>
        <charset val="238"/>
      </rPr>
      <t>min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</si>
  <si>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c</t>
    </r>
  </si>
  <si>
    <t>(tolerancje toru spełniają wymagania PN-EN 1993-6, czyli PN-EN 1090-2)</t>
  </si>
  <si>
    <r>
      <rPr>
        <sz val="10"/>
        <rFont val="Times New Roman"/>
        <family val="1"/>
        <charset val="238"/>
      </rPr>
      <t>φ</t>
    </r>
    <r>
      <rPr>
        <sz val="8"/>
        <rFont val="Times New Roman"/>
        <family val="1"/>
        <charset val="238"/>
      </rPr>
      <t>6</t>
    </r>
  </si>
  <si>
    <r>
      <t>H</t>
    </r>
    <r>
      <rPr>
        <vertAlign val="subscript"/>
        <sz val="10"/>
        <rFont val="Arial"/>
        <family val="2"/>
        <charset val="238"/>
      </rPr>
      <t>L</t>
    </r>
    <r>
      <rPr>
        <sz val="10"/>
        <rFont val="Arial"/>
        <family val="2"/>
        <charset val="238"/>
      </rPr>
      <t>,H</t>
    </r>
    <r>
      <rPr>
        <vertAlign val="subscript"/>
        <sz val="8"/>
        <rFont val="Arial"/>
        <family val="2"/>
        <charset val="238"/>
      </rPr>
      <t>T</t>
    </r>
  </si>
  <si>
    <r>
      <t>H</t>
    </r>
    <r>
      <rPr>
        <vertAlign val="subscript"/>
        <sz val="8"/>
        <rFont val="Arial"/>
        <family val="2"/>
        <charset val="238"/>
      </rPr>
      <t>S</t>
    </r>
  </si>
  <si>
    <r>
      <t>H</t>
    </r>
    <r>
      <rPr>
        <vertAlign val="subscript"/>
        <sz val="8"/>
        <rFont val="Arial"/>
        <family val="2"/>
        <charset val="238"/>
      </rPr>
      <t>T,3</t>
    </r>
  </si>
  <si>
    <r>
      <t>Q</t>
    </r>
    <r>
      <rPr>
        <vertAlign val="subscript"/>
        <sz val="8"/>
        <rFont val="Arial"/>
        <family val="2"/>
        <charset val="238"/>
      </rPr>
      <t>T</t>
    </r>
  </si>
  <si>
    <r>
      <t>H</t>
    </r>
    <r>
      <rPr>
        <vertAlign val="subscript"/>
        <sz val="8"/>
        <rFont val="Arial"/>
        <family val="2"/>
        <charset val="238"/>
      </rPr>
      <t>B</t>
    </r>
  </si>
  <si>
    <r>
      <t>H</t>
    </r>
    <r>
      <rPr>
        <vertAlign val="subscript"/>
        <sz val="8"/>
        <rFont val="Arial"/>
        <family val="2"/>
        <charset val="238"/>
      </rPr>
      <t>TA</t>
    </r>
  </si>
  <si>
    <t>Prędkość podnoszenia</t>
  </si>
  <si>
    <t>Obciążenia pionowe od kół</t>
  </si>
  <si>
    <t>Suwnica bez obciazenia</t>
  </si>
  <si>
    <t>Grupa obciążeń 1,2</t>
  </si>
  <si>
    <r>
      <t>ΣQ</t>
    </r>
    <r>
      <rPr>
        <vertAlign val="subscript"/>
        <sz val="10"/>
        <rFont val="Calibri"/>
        <family val="2"/>
        <charset val="238"/>
      </rPr>
      <t>r,(min)</t>
    </r>
    <r>
      <rPr>
        <sz val="10"/>
        <rFont val="Calibri"/>
        <family val="2"/>
        <charset val="238"/>
      </rPr>
      <t>=</t>
    </r>
  </si>
  <si>
    <r>
      <t>ΣQ</t>
    </r>
    <r>
      <rPr>
        <vertAlign val="subscript"/>
        <sz val="10"/>
        <rFont val="Calibri"/>
        <family val="2"/>
        <charset val="238"/>
      </rPr>
      <t>r,min</t>
    </r>
    <r>
      <rPr>
        <sz val="10"/>
        <rFont val="Calibri"/>
        <family val="2"/>
        <charset val="238"/>
      </rPr>
      <t>=</t>
    </r>
  </si>
  <si>
    <t>→</t>
  </si>
  <si>
    <t>Grupa obciążeń 3,4,5,6</t>
  </si>
  <si>
    <t>Grupa obciążeń 1</t>
  </si>
  <si>
    <r>
      <t>Q</t>
    </r>
    <r>
      <rPr>
        <vertAlign val="subscript"/>
        <sz val="10"/>
        <rFont val="Arial"/>
        <family val="2"/>
        <charset val="238"/>
      </rPr>
      <t>h,k</t>
    </r>
    <r>
      <rPr>
        <sz val="10"/>
        <rFont val="Arial"/>
        <family val="2"/>
        <charset val="238"/>
      </rPr>
      <t>=</t>
    </r>
  </si>
  <si>
    <r>
      <t>ΣQ</t>
    </r>
    <r>
      <rPr>
        <vertAlign val="subscript"/>
        <sz val="10"/>
        <rFont val="Calibri"/>
        <family val="2"/>
        <charset val="238"/>
      </rPr>
      <t>r,(max)</t>
    </r>
    <r>
      <rPr>
        <sz val="10"/>
        <rFont val="Calibri"/>
        <family val="2"/>
        <charset val="238"/>
      </rPr>
      <t>=</t>
    </r>
  </si>
  <si>
    <r>
      <t>ΣQ</t>
    </r>
    <r>
      <rPr>
        <vertAlign val="subscript"/>
        <sz val="10"/>
        <rFont val="Calibri"/>
        <family val="2"/>
        <charset val="238"/>
      </rPr>
      <t>r,max</t>
    </r>
    <r>
      <rPr>
        <sz val="10"/>
        <rFont val="Calibri"/>
        <family val="2"/>
        <charset val="238"/>
      </rPr>
      <t>=</t>
    </r>
  </si>
  <si>
    <t>Grupa obciążeń 2</t>
  </si>
  <si>
    <t>Grupa obciążeń 4,5,6</t>
  </si>
  <si>
    <t>Liczba kół suwnicy :</t>
  </si>
  <si>
    <t>Siła K i siła podłużna</t>
  </si>
  <si>
    <r>
      <t>Siła H</t>
    </r>
    <r>
      <rPr>
        <b/>
        <vertAlign val="subscript"/>
        <sz val="10"/>
        <rFont val="Arial"/>
        <family val="2"/>
        <charset val="238"/>
      </rPr>
      <t>T</t>
    </r>
  </si>
  <si>
    <t xml:space="preserve">odległość </t>
  </si>
  <si>
    <t>dla pary kół 1</t>
  </si>
  <si>
    <t>dla pary kół 2</t>
  </si>
  <si>
    <r>
      <t>H</t>
    </r>
    <r>
      <rPr>
        <vertAlign val="subscript"/>
        <sz val="10"/>
        <rFont val="Arial"/>
        <family val="2"/>
        <charset val="238"/>
      </rPr>
      <t>S1L</t>
    </r>
    <r>
      <rPr>
        <sz val="10"/>
        <rFont val="Arial"/>
        <family val="2"/>
        <charset val="238"/>
      </rPr>
      <t>=f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λ</t>
    </r>
    <r>
      <rPr>
        <vertAlign val="subscript"/>
        <sz val="10"/>
        <rFont val="Arial"/>
        <family val="2"/>
        <charset val="238"/>
      </rPr>
      <t>S1L</t>
    </r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</si>
  <si>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S2L</t>
    </r>
    <r>
      <rPr>
        <sz val="10"/>
        <rFont val="Arial"/>
        <family val="2"/>
        <charset val="238"/>
      </rPr>
      <t>=f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λ</t>
    </r>
    <r>
      <rPr>
        <vertAlign val="subscript"/>
        <sz val="10"/>
        <rFont val="Arial"/>
        <family val="2"/>
        <charset val="238"/>
      </rPr>
      <t>S2L</t>
    </r>
    <r>
      <rPr>
        <sz val="10"/>
        <rFont val="Czcionka tekstu podstawowego"/>
        <charset val="238"/>
      </rPr>
      <t>∑</t>
    </r>
    <r>
      <rPr>
        <sz val="10"/>
        <rFont val="Arial"/>
        <family val="2"/>
        <charset val="238"/>
      </rPr>
      <t>Q</t>
    </r>
    <r>
      <rPr>
        <vertAlign val="subscript"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>=</t>
    </r>
  </si>
  <si>
    <t>Siła S</t>
  </si>
  <si>
    <t>S=</t>
  </si>
  <si>
    <r>
      <t>H</t>
    </r>
    <r>
      <rPr>
        <vertAlign val="subscript"/>
        <sz val="10"/>
        <rFont val="Arial"/>
        <family val="2"/>
        <charset val="238"/>
      </rPr>
      <t>S11T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</si>
  <si>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S21T=</t>
    </r>
  </si>
  <si>
    <r>
      <t>H</t>
    </r>
    <r>
      <rPr>
        <vertAlign val="subscript"/>
        <sz val="10"/>
        <rFont val="Arial"/>
        <family val="2"/>
        <charset val="238"/>
      </rPr>
      <t>S2T=</t>
    </r>
  </si>
  <si>
    <r>
      <t>H</t>
    </r>
    <r>
      <rPr>
        <vertAlign val="subscript"/>
        <sz val="10"/>
        <rFont val="Arial"/>
        <family val="2"/>
        <charset val="238"/>
      </rPr>
      <t>S12T</t>
    </r>
    <r>
      <rPr>
        <sz val="10"/>
        <rFont val="Arial"/>
        <family val="2"/>
        <charset val="238"/>
      </rPr>
      <t>=</t>
    </r>
  </si>
  <si>
    <r>
      <t>H</t>
    </r>
    <r>
      <rPr>
        <vertAlign val="subscript"/>
        <sz val="10"/>
        <rFont val="Arial"/>
        <family val="2"/>
        <charset val="238"/>
      </rPr>
      <t>S22T</t>
    </r>
    <r>
      <rPr>
        <sz val="10"/>
        <rFont val="Arial"/>
        <family val="2"/>
        <charset val="238"/>
      </rPr>
      <t>=</t>
    </r>
  </si>
  <si>
    <t>e=</t>
  </si>
  <si>
    <t>Siły od mimośrodów</t>
  </si>
  <si>
    <t>Szerokosć główki szyny</t>
  </si>
  <si>
    <t>br</t>
  </si>
  <si>
    <t>mm</t>
  </si>
  <si>
    <t>Siły zmęczeniowe</t>
  </si>
  <si>
    <r>
      <rPr>
        <sz val="10"/>
        <rFont val="Calibri"/>
        <family val="2"/>
        <charset val="238"/>
      </rPr>
      <t>ϕ</t>
    </r>
    <r>
      <rPr>
        <vertAlign val="subscript"/>
        <sz val="10"/>
        <rFont val="Arial"/>
        <family val="2"/>
        <charset val="238"/>
      </rPr>
      <t>fat,1=</t>
    </r>
  </si>
  <si>
    <r>
      <rPr>
        <sz val="10"/>
        <rFont val="Calibri"/>
        <family val="2"/>
        <charset val="238"/>
      </rPr>
      <t>ϕ</t>
    </r>
    <r>
      <rPr>
        <vertAlign val="subscript"/>
        <sz val="10"/>
        <rFont val="Arial"/>
        <family val="2"/>
        <charset val="238"/>
      </rPr>
      <t>fat,2=</t>
    </r>
  </si>
  <si>
    <r>
      <t>λ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=</t>
    </r>
  </si>
  <si>
    <r>
      <t>λ</t>
    </r>
    <r>
      <rPr>
        <vertAlign val="subscript"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</si>
  <si>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e,n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</si>
  <si>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e,s</t>
    </r>
    <r>
      <rPr>
        <sz val="10"/>
        <rFont val="Arial"/>
        <family val="2"/>
        <charset val="238"/>
      </rPr>
      <t>=</t>
    </r>
  </si>
  <si>
    <t>EC1-P-3: Tabela 2.12</t>
  </si>
  <si>
    <t>Suwnica obciążona</t>
  </si>
  <si>
    <t>Obciążenia od zukosowania</t>
  </si>
  <si>
    <t>-podłużne</t>
  </si>
  <si>
    <t>-poprzeczne</t>
  </si>
  <si>
    <t>-spowodowane przyspieszeniem lub hamowaniem dźwigu</t>
  </si>
  <si>
    <r>
      <t>Q</t>
    </r>
    <r>
      <rPr>
        <vertAlign val="sub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</si>
  <si>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t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</si>
  <si>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C,k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</si>
  <si>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t,k</t>
    </r>
    <r>
      <rPr>
        <sz val="10"/>
        <rFont val="Arial"/>
        <family val="2"/>
        <charset val="238"/>
      </rPr>
      <t>=</t>
    </r>
  </si>
  <si>
    <r>
      <t>Q</t>
    </r>
    <r>
      <rPr>
        <vertAlign val="subscript"/>
        <sz val="10"/>
        <rFont val="Arial"/>
        <family val="2"/>
        <charset val="238"/>
      </rPr>
      <t>c,k</t>
    </r>
    <r>
      <rPr>
        <sz val="10"/>
        <rFont val="Arial"/>
        <family val="2"/>
        <charset val="238"/>
      </rPr>
      <t>=</t>
    </r>
  </si>
  <si>
    <t>ciężar własny suwnicy</t>
  </si>
  <si>
    <t>ciężar podnoszony</t>
  </si>
  <si>
    <r>
      <t>η</t>
    </r>
    <r>
      <rPr>
        <vertAlign val="superscript"/>
        <sz val="10"/>
        <rFont val="Calibri"/>
        <family val="2"/>
        <charset val="238"/>
      </rPr>
      <t>1)</t>
    </r>
  </si>
  <si>
    <t>przyspieszenie mostu suwnicy</t>
  </si>
  <si>
    <t>zukosowanie mostu suwnicy</t>
  </si>
  <si>
    <t>przyspieszenie lub hamowanie wózka lub bloków ciągnika</t>
  </si>
  <si>
    <t>wiatr w stanie roboczym suwnicy</t>
  </si>
  <si>
    <r>
      <t>F</t>
    </r>
    <r>
      <rPr>
        <vertAlign val="subscript"/>
        <sz val="10"/>
        <rFont val="Arial"/>
        <family val="2"/>
        <charset val="238"/>
      </rPr>
      <t xml:space="preserve">w </t>
    </r>
    <r>
      <rPr>
        <vertAlign val="superscript"/>
        <sz val="10"/>
        <rFont val="Arial"/>
        <family val="2"/>
        <charset val="238"/>
      </rPr>
      <t xml:space="preserve">2) </t>
    </r>
  </si>
  <si>
    <t>zał. A</t>
  </si>
  <si>
    <t>obciążenie próbne</t>
  </si>
  <si>
    <t>siły uderzenia w zderzaki</t>
  </si>
  <si>
    <t>siły wywołane wychyleniem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</si>
  <si>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η - wyraża stosunek ciężaru podnoszonego, który pozostaje na suwnicy po zwolnieniu ładunku, ale nie jest liczony do ciężaru własnego suwnicy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</si>
  <si>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 wiatr w stanie spoczynku suwnicy wg zał. A </t>
    </r>
  </si>
  <si>
    <t>h=</t>
  </si>
  <si>
    <t>m=</t>
  </si>
  <si>
    <t>koła niezależne</t>
  </si>
  <si>
    <t>PN-EN 1993-3: 2008, Tab.2.8</t>
  </si>
  <si>
    <t>Koła niezależne, system IFF</t>
  </si>
  <si>
    <t>PN-EN 1993-3: 2008, Tab.2.9</t>
  </si>
  <si>
    <r>
      <t>e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=</t>
    </r>
  </si>
  <si>
    <r>
      <t>e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=</t>
    </r>
  </si>
  <si>
    <r>
      <t>λ</t>
    </r>
    <r>
      <rPr>
        <vertAlign val="subscript"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>=1−(e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+e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+e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+e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)/(nR)=</t>
    </r>
  </si>
  <si>
    <r>
      <t>λ</t>
    </r>
    <r>
      <rPr>
        <vertAlign val="subscript"/>
        <sz val="10"/>
        <rFont val="Arial"/>
        <family val="2"/>
        <charset val="238"/>
      </rPr>
      <t>S11T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</si>
  <si>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S21T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</si>
  <si>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S,1,L</t>
    </r>
    <r>
      <rPr>
        <sz val="10"/>
        <rFont val="Arial"/>
        <family val="2"/>
        <charset val="238"/>
      </rPr>
      <t>=λ</t>
    </r>
    <r>
      <rPr>
        <vertAlign val="subscript"/>
        <sz val="10"/>
        <rFont val="Arial"/>
        <family val="2"/>
        <charset val="238"/>
      </rPr>
      <t>S,2,L</t>
    </r>
    <r>
      <rPr>
        <sz val="10"/>
        <rFont val="Arial"/>
        <family val="2"/>
        <charset val="238"/>
      </rPr>
      <t>=</t>
    </r>
  </si>
  <si>
    <t>dla pary kół 3</t>
  </si>
  <si>
    <t>dla pary kół 4</t>
  </si>
  <si>
    <r>
      <t>e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=</t>
    </r>
  </si>
  <si>
    <r>
      <t>λ</t>
    </r>
    <r>
      <rPr>
        <vertAlign val="subscript"/>
        <sz val="10"/>
        <rFont val="Arial"/>
        <family val="2"/>
        <charset val="238"/>
      </rPr>
      <t>S12T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</si>
  <si>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S22T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</si>
  <si>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S11T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</si>
  <si>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S21T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</si>
  <si>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S12T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/h)=</t>
    </r>
  </si>
  <si>
    <r>
      <t>λ</t>
    </r>
    <r>
      <rPr>
        <vertAlign val="subscript"/>
        <sz val="10"/>
        <rFont val="Arial"/>
        <family val="2"/>
        <charset val="238"/>
      </rPr>
      <t>S22T</t>
    </r>
    <r>
      <rPr>
        <sz val="10"/>
        <rFont val="Arial"/>
        <family val="2"/>
        <charset val="238"/>
      </rPr>
      <t>=ξ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/n</t>
    </r>
    <r>
      <rPr>
        <sz val="10"/>
        <rFont val="Times New Roman"/>
        <family val="1"/>
        <charset val="238"/>
      </rPr>
      <t>·</t>
    </r>
    <r>
      <rPr>
        <sz val="10"/>
        <rFont val="Arial"/>
        <family val="2"/>
        <charset val="238"/>
      </rPr>
      <t>(1-e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/h)=</t>
    </r>
  </si>
  <si>
    <t>dla klasy S4</t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</si>
  <si>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=1,15</t>
    </r>
  </si>
  <si>
    <r>
      <rPr>
        <sz val="10"/>
        <rFont val="Times New Roman"/>
        <family val="1"/>
        <charset val="238"/>
      </rPr>
      <t>φ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=1,20</t>
    </r>
  </si>
  <si>
    <t>próbne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</si>
</sst>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5">
    <font>
      <sz val="10"/>
      <name val="Arial CE"/>
      <charset val="238"/>
    </font>
    <font>
      <sz val="10"/>
      <name val="Arial CE"/>
      <family val="2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name val="Symbol"/>
      <family val="1"/>
      <charset val="2"/>
    </font>
    <font>
      <vertAlign val="subscript"/>
      <sz val="10"/>
      <name val="Czcionka tekstu podstawowego"/>
      <charset val="238"/>
    </font>
    <font>
      <b/>
      <sz val="10"/>
      <name val="Calibri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4"/>
      <color theme="4" tint="-0.249977111117893"/>
      <name val="Arial CE"/>
      <charset val="238"/>
    </font>
    <font>
      <sz val="10"/>
      <name val="Calibri"/>
      <family val="2"/>
      <charset val="238"/>
    </font>
    <font>
      <sz val="8"/>
      <name val="Times New Roman"/>
      <family val="1"/>
      <charset val="238"/>
    </font>
    <font>
      <vertAlign val="subscript"/>
      <sz val="10"/>
      <name val="Calibri"/>
      <family val="2"/>
      <charset val="238"/>
    </font>
    <font>
      <b/>
      <vertAlign val="subscript"/>
      <sz val="10"/>
      <name val="Arial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FF6F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Alignment="1"/>
    <xf numFmtId="0" fontId="2" fillId="0" borderId="0" xfId="0" quotePrefix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/>
    <xf numFmtId="0" fontId="2" fillId="0" borderId="8" xfId="0" quotePrefix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5" fontId="2" fillId="0" borderId="0" xfId="0" quotePrefix="1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2" fontId="2" fillId="0" borderId="9" xfId="0" quotePrefix="1" applyNumberFormat="1" applyFont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2" fillId="0" borderId="5" xfId="0" quotePrefix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quotePrefix="1" applyNumberFormat="1" applyFont="1" applyFill="1" applyAlignment="1">
      <alignment horizontal="center"/>
    </xf>
    <xf numFmtId="0" fontId="0" fillId="0" borderId="0" xfId="0" quotePrefix="1"/>
    <xf numFmtId="0" fontId="9" fillId="0" borderId="0" xfId="0" quotePrefix="1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5" fontId="2" fillId="0" borderId="0" xfId="0" quotePrefix="1" applyNumberFormat="1" applyFont="1" applyFill="1" applyAlignment="1">
      <alignment horizontal="center"/>
    </xf>
    <xf numFmtId="0" fontId="8" fillId="0" borderId="0" xfId="0" quotePrefix="1" applyFont="1" applyAlignment="1">
      <alignment horizontal="right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quotePrefix="1" applyFont="1" applyAlignment="1">
      <alignment horizontal="left" vertical="center"/>
    </xf>
    <xf numFmtId="164" fontId="2" fillId="0" borderId="0" xfId="0" quotePrefix="1" applyNumberFormat="1" applyFont="1" applyFill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/>
    <xf numFmtId="0" fontId="2" fillId="0" borderId="0" xfId="0" quotePrefix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2" fillId="0" borderId="0" xfId="0" quotePrefix="1" applyNumberFormat="1" applyFont="1" applyBorder="1" applyAlignment="1"/>
    <xf numFmtId="2" fontId="2" fillId="0" borderId="0" xfId="0" quotePrefix="1" applyNumberFormat="1" applyFont="1" applyBorder="1" applyAlignment="1">
      <alignment horizontal="right"/>
    </xf>
    <xf numFmtId="2" fontId="2" fillId="0" borderId="0" xfId="0" quotePrefix="1" applyNumberFormat="1" applyFont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0" fontId="13" fillId="0" borderId="0" xfId="0" quotePrefix="1" applyFont="1" applyAlignment="1"/>
    <xf numFmtId="0" fontId="2" fillId="0" borderId="0" xfId="0" applyFont="1" applyFill="1" applyAlignment="1"/>
    <xf numFmtId="0" fontId="0" fillId="0" borderId="0" xfId="0" applyFill="1"/>
    <xf numFmtId="0" fontId="2" fillId="0" borderId="0" xfId="0" quotePrefix="1" applyFont="1" applyFill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quotePrefix="1" applyNumberFormat="1" applyFont="1" applyFill="1" applyBorder="1" applyAlignment="1"/>
    <xf numFmtId="2" fontId="2" fillId="0" borderId="0" xfId="0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2" fillId="0" borderId="0" xfId="0" quotePrefix="1" applyFont="1" applyAlignment="1"/>
    <xf numFmtId="164" fontId="2" fillId="2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2" fontId="2" fillId="0" borderId="0" xfId="0" quotePrefix="1" applyNumberFormat="1" applyFont="1" applyFill="1" applyAlignment="1">
      <alignment horizontal="center" vertical="center"/>
    </xf>
    <xf numFmtId="1" fontId="2" fillId="0" borderId="7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Border="1" applyAlignment="1">
      <alignment horizontal="left"/>
    </xf>
    <xf numFmtId="2" fontId="2" fillId="0" borderId="0" xfId="0" quotePrefix="1" applyNumberFormat="1" applyFont="1" applyBorder="1" applyAlignment="1">
      <alignment horizontal="center" vertical="center"/>
    </xf>
    <xf numFmtId="2" fontId="2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8" xfId="0" quotePrefix="1" applyFont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/>
    </xf>
    <xf numFmtId="1" fontId="2" fillId="0" borderId="8" xfId="0" quotePrefix="1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64" fontId="2" fillId="0" borderId="0" xfId="0" quotePrefix="1" applyNumberFormat="1" applyFont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right"/>
    </xf>
    <xf numFmtId="0" fontId="2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2" borderId="0" xfId="0" applyFont="1" applyFill="1" applyAlignment="1"/>
    <xf numFmtId="0" fontId="4" fillId="0" borderId="0" xfId="0" applyFont="1" applyAlignment="1">
      <alignment horizontal="left"/>
    </xf>
    <xf numFmtId="164" fontId="2" fillId="0" borderId="0" xfId="0" quotePrefix="1" applyNumberFormat="1" applyFont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9" xfId="0" quotePrefix="1" applyFont="1" applyBorder="1" applyAlignment="1">
      <alignment horizontal="center"/>
    </xf>
    <xf numFmtId="0" fontId="2" fillId="0" borderId="23" xfId="0" quotePrefix="1" applyFont="1" applyBorder="1" applyAlignment="1">
      <alignment horizontal="right"/>
    </xf>
    <xf numFmtId="0" fontId="2" fillId="0" borderId="24" xfId="0" quotePrefix="1" applyFont="1" applyBorder="1" applyAlignment="1">
      <alignment horizontal="right"/>
    </xf>
    <xf numFmtId="0" fontId="2" fillId="0" borderId="26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right"/>
    </xf>
    <xf numFmtId="0" fontId="2" fillId="0" borderId="30" xfId="0" quotePrefix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2" xfId="0" quotePrefix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2" fillId="0" borderId="16" xfId="0" quotePrefix="1" applyNumberFormat="1" applyFont="1" applyBorder="1" applyAlignment="1">
      <alignment horizontal="center" vertical="center"/>
    </xf>
    <xf numFmtId="2" fontId="2" fillId="0" borderId="34" xfId="0" quotePrefix="1" applyNumberFormat="1" applyFont="1" applyBorder="1" applyAlignment="1">
      <alignment horizontal="center" vertical="center"/>
    </xf>
    <xf numFmtId="2" fontId="2" fillId="0" borderId="9" xfId="0" quotePrefix="1" applyNumberFormat="1" applyFont="1" applyFill="1" applyBorder="1" applyAlignment="1">
      <alignment horizontal="center" vertical="center"/>
    </xf>
    <xf numFmtId="2" fontId="2" fillId="0" borderId="36" xfId="0" quotePrefix="1" applyNumberFormat="1" applyFont="1" applyFill="1" applyBorder="1" applyAlignment="1">
      <alignment horizontal="center" vertical="center"/>
    </xf>
    <xf numFmtId="2" fontId="2" fillId="0" borderId="36" xfId="0" quotePrefix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" fontId="2" fillId="0" borderId="16" xfId="0" quotePrefix="1" applyNumberFormat="1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/>
    </xf>
    <xf numFmtId="2" fontId="2" fillId="0" borderId="34" xfId="0" quotePrefix="1" applyNumberFormat="1" applyFont="1" applyFill="1" applyBorder="1" applyAlignment="1">
      <alignment horizontal="center" vertical="center"/>
    </xf>
    <xf numFmtId="2" fontId="2" fillId="0" borderId="16" xfId="0" quotePrefix="1" applyNumberFormat="1" applyFont="1" applyFill="1" applyBorder="1" applyAlignment="1">
      <alignment horizontal="center"/>
    </xf>
    <xf numFmtId="0" fontId="2" fillId="0" borderId="34" xfId="0" quotePrefix="1" applyFont="1" applyFill="1" applyBorder="1" applyAlignment="1">
      <alignment horizontal="center"/>
    </xf>
    <xf numFmtId="2" fontId="2" fillId="0" borderId="2" xfId="0" quotePrefix="1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35" xfId="0" quotePrefix="1" applyFont="1" applyFill="1" applyBorder="1" applyAlignment="1">
      <alignment horizontal="center"/>
    </xf>
    <xf numFmtId="2" fontId="2" fillId="0" borderId="9" xfId="0" quotePrefix="1" applyNumberFormat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36" xfId="0" quotePrefix="1" applyFont="1" applyFill="1" applyBorder="1" applyAlignment="1">
      <alignment horizontal="center"/>
    </xf>
    <xf numFmtId="0" fontId="2" fillId="0" borderId="32" xfId="0" quotePrefix="1" applyFont="1" applyFill="1" applyBorder="1" applyAlignment="1">
      <alignment horizontal="center"/>
    </xf>
    <xf numFmtId="2" fontId="2" fillId="0" borderId="33" xfId="0" quotePrefix="1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2" fontId="2" fillId="0" borderId="0" xfId="0" quotePrefix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 textRotation="90" wrapText="1"/>
    </xf>
    <xf numFmtId="0" fontId="13" fillId="0" borderId="43" xfId="0" quotePrefix="1" applyFont="1" applyBorder="1" applyAlignment="1">
      <alignment horizontal="left" vertical="center"/>
    </xf>
    <xf numFmtId="0" fontId="13" fillId="0" borderId="44" xfId="0" quotePrefix="1" applyFont="1" applyBorder="1" applyAlignment="1">
      <alignment horizontal="left" vertical="center"/>
    </xf>
    <xf numFmtId="0" fontId="13" fillId="0" borderId="45" xfId="0" quotePrefix="1" applyFont="1" applyBorder="1" applyAlignment="1">
      <alignment horizontal="left" vertical="center"/>
    </xf>
    <xf numFmtId="0" fontId="13" fillId="0" borderId="0" xfId="0" quotePrefix="1" applyFont="1" applyAlignment="1">
      <alignment horizontal="center" shrinkToFit="1"/>
    </xf>
    <xf numFmtId="0" fontId="13" fillId="0" borderId="5" xfId="0" quotePrefix="1" applyFont="1" applyBorder="1" applyAlignment="1">
      <alignment horizontal="center" vertical="center" shrinkToFit="1"/>
    </xf>
    <xf numFmtId="0" fontId="13" fillId="0" borderId="6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left" vertical="center"/>
    </xf>
    <xf numFmtId="0" fontId="23" fillId="0" borderId="42" xfId="0" quotePrefix="1" applyFont="1" applyBorder="1" applyAlignment="1">
      <alignment horizontal="left" vertical="center"/>
    </xf>
    <xf numFmtId="0" fontId="23" fillId="0" borderId="41" xfId="0" quotePrefix="1" applyFont="1" applyBorder="1" applyAlignment="1">
      <alignment horizontal="left" vertical="center"/>
    </xf>
    <xf numFmtId="0" fontId="13" fillId="0" borderId="40" xfId="0" quotePrefix="1" applyFont="1" applyBorder="1" applyAlignment="1">
      <alignment horizontal="center" vertical="center" shrinkToFit="1"/>
    </xf>
    <xf numFmtId="0" fontId="13" fillId="0" borderId="41" xfId="0" quotePrefix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24" fillId="0" borderId="37" xfId="0" applyFont="1" applyBorder="1" applyAlignment="1">
      <alignment horizontal="center" vertical="center" wrapText="1" shrinkToFit="1"/>
    </xf>
    <xf numFmtId="0" fontId="24" fillId="0" borderId="38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0" fontId="2" fillId="0" borderId="8" xfId="0" quotePrefix="1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Normalny_wiatr" xfId="1"/>
  </cellStyles>
  <dxfs count="0"/>
  <tableStyles count="0" defaultTableStyle="TableStyleMedium9" defaultPivotStyle="PivotStyleLight16"/>
  <colors>
    <mruColors>
      <color rgb="FFFFFF99"/>
      <color rgb="FFDFF6F5"/>
      <color rgb="FFF9FD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555628</xdr:colOff>
      <xdr:row>206</xdr:row>
      <xdr:rowOff>47625</xdr:rowOff>
    </xdr:from>
    <xdr:to>
      <xdr:col>7</xdr:col>
      <xdr:colOff>58657</xdr:colOff>
      <xdr:row>212</xdr:row>
      <xdr:rowOff>79373</xdr:rowOff>
    </xdr:to>
    <xdr:pic>
      <xdr:nvPicPr>
        <xdr:cNvPr id="24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3378" y="37068125"/>
          <a:ext cx="1241342" cy="117474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0</xdr:col>
      <xdr:colOff>246063</xdr:colOff>
      <xdr:row>2</xdr:row>
      <xdr:rowOff>145762</xdr:rowOff>
    </xdr:from>
    <xdr:to>
      <xdr:col>12</xdr:col>
      <xdr:colOff>427787</xdr:colOff>
      <xdr:row>23</xdr:row>
      <xdr:rowOff>107249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3" y="542637"/>
          <a:ext cx="6738099" cy="3295237"/>
        </a:xfrm>
        <a:prstGeom prst="rect">
          <a:avLst/>
        </a:prstGeom>
      </xdr:spPr>
    </xdr:pic>
    <xdr:clientData/>
  </xdr:twoCellAnchor>
  <xdr:twoCellAnchor editAs="oneCell">
    <xdr:from>
      <xdr:col>1</xdr:col>
      <xdr:colOff>103187</xdr:colOff>
      <xdr:row>88</xdr:row>
      <xdr:rowOff>41117</xdr:rowOff>
    </xdr:from>
    <xdr:to>
      <xdr:col>10</xdr:col>
      <xdr:colOff>317499</xdr:colOff>
      <xdr:row>94</xdr:row>
      <xdr:rowOff>96837</xdr:rowOff>
    </xdr:to>
    <xdr:pic>
      <xdr:nvPicPr>
        <xdr:cNvPr id="17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13622180"/>
          <a:ext cx="5429249" cy="11987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0</xdr:col>
      <xdr:colOff>497206</xdr:colOff>
      <xdr:row>141</xdr:row>
      <xdr:rowOff>7938</xdr:rowOff>
    </xdr:from>
    <xdr:to>
      <xdr:col>3</xdr:col>
      <xdr:colOff>474031</xdr:colOff>
      <xdr:row>149</xdr:row>
      <xdr:rowOff>51296</xdr:rowOff>
    </xdr:to>
    <xdr:pic>
      <xdr:nvPicPr>
        <xdr:cNvPr id="21" name="Picture 3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t="3914" b="5571"/>
        <a:stretch/>
      </xdr:blipFill>
      <xdr:spPr bwMode="auto">
        <a:xfrm>
          <a:off x="497206" y="24955501"/>
          <a:ext cx="1715138" cy="15673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254001</xdr:colOff>
      <xdr:row>150</xdr:row>
      <xdr:rowOff>47626</xdr:rowOff>
    </xdr:from>
    <xdr:to>
      <xdr:col>4</xdr:col>
      <xdr:colOff>287451</xdr:colOff>
      <xdr:row>160</xdr:row>
      <xdr:rowOff>39843</xdr:rowOff>
    </xdr:to>
    <xdr:pic>
      <xdr:nvPicPr>
        <xdr:cNvPr id="22" name="Picture 3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b="3479"/>
        <a:stretch/>
      </xdr:blipFill>
      <xdr:spPr bwMode="auto">
        <a:xfrm>
          <a:off x="254001" y="22582189"/>
          <a:ext cx="2351200" cy="1897217"/>
        </a:xfrm>
        <a:prstGeom prst="rect">
          <a:avLst/>
        </a:prstGeom>
        <a:noFill/>
      </xdr:spPr>
    </xdr:pic>
    <xdr:clientData/>
  </xdr:twoCellAnchor>
  <xdr:oneCellAnchor>
    <xdr:from>
      <xdr:col>0</xdr:col>
      <xdr:colOff>222251</xdr:colOff>
      <xdr:row>164</xdr:row>
      <xdr:rowOff>74819</xdr:rowOff>
    </xdr:from>
    <xdr:ext cx="2293936" cy="1369759"/>
    <xdr:pic>
      <xdr:nvPicPr>
        <xdr:cNvPr id="23" name="Picture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/>
        <a:srcRect l="7373" r="5214" b="17318"/>
        <a:stretch/>
      </xdr:blipFill>
      <xdr:spPr bwMode="auto">
        <a:xfrm>
          <a:off x="222251" y="29221319"/>
          <a:ext cx="2293936" cy="1369759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55563</xdr:colOff>
      <xdr:row>218</xdr:row>
      <xdr:rowOff>71435</xdr:rowOff>
    </xdr:from>
    <xdr:to>
      <xdr:col>9</xdr:col>
      <xdr:colOff>513512</xdr:colOff>
      <xdr:row>227</xdr:row>
      <xdr:rowOff>74610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1" y="35853685"/>
          <a:ext cx="5093449" cy="17176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1</xdr:col>
      <xdr:colOff>47624</xdr:colOff>
      <xdr:row>107</xdr:row>
      <xdr:rowOff>63499</xdr:rowOff>
    </xdr:from>
    <xdr:to>
      <xdr:col>11</xdr:col>
      <xdr:colOff>186</xdr:colOff>
      <xdr:row>115</xdr:row>
      <xdr:rowOff>25398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062" y="18788062"/>
          <a:ext cx="5532624" cy="14858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tabSelected="1" view="pageBreakPreview" topLeftCell="A199" zoomScale="120" zoomScaleNormal="75" zoomScaleSheetLayoutView="120" workbookViewId="0">
      <selection activeCell="J153" sqref="J153"/>
    </sheetView>
  </sheetViews>
  <sheetFormatPr defaultRowHeight="12.75"/>
  <cols>
    <col min="1" max="10" width="8.7109375" customWidth="1"/>
    <col min="11" max="11" width="5.42578125" customWidth="1"/>
    <col min="12" max="12" width="6" customWidth="1"/>
    <col min="13" max="13" width="15.5703125" customWidth="1"/>
  </cols>
  <sheetData>
    <row r="1" spans="1:13" ht="18.75" thickBot="1">
      <c r="A1" s="163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5" spans="1:13" ht="15" customHeight="1">
      <c r="A25" s="1"/>
      <c r="B25" s="62" t="s">
        <v>75</v>
      </c>
      <c r="C25" s="2"/>
      <c r="D25" s="2"/>
      <c r="E25" s="2"/>
      <c r="F25" s="2"/>
      <c r="G25" s="2"/>
      <c r="H25" s="2"/>
      <c r="I25" s="2"/>
      <c r="J25" s="3"/>
      <c r="K25" s="3"/>
      <c r="L25" s="2"/>
    </row>
    <row r="26" spans="1:13" ht="15" customHeight="1">
      <c r="A26" s="1"/>
      <c r="B26" s="10" t="s">
        <v>1</v>
      </c>
      <c r="C26" s="2"/>
      <c r="D26" s="2"/>
      <c r="E26" s="2"/>
      <c r="F26" s="2"/>
      <c r="G26" s="2"/>
      <c r="H26" s="2"/>
      <c r="I26" s="7" t="s">
        <v>76</v>
      </c>
      <c r="J26" s="65">
        <v>25.5</v>
      </c>
      <c r="K26" s="2" t="s">
        <v>77</v>
      </c>
    </row>
    <row r="27" spans="1:13" ht="15" customHeight="1">
      <c r="A27" s="1"/>
      <c r="B27" s="10" t="s">
        <v>4</v>
      </c>
      <c r="C27" s="2"/>
      <c r="D27" s="2"/>
      <c r="E27" s="2"/>
      <c r="F27" s="2"/>
      <c r="G27" s="2"/>
      <c r="H27" s="2"/>
      <c r="I27" s="4" t="s">
        <v>100</v>
      </c>
      <c r="J27" s="63">
        <v>1.36</v>
      </c>
      <c r="K27" s="2" t="s">
        <v>77</v>
      </c>
    </row>
    <row r="28" spans="1:13" ht="15" customHeight="1">
      <c r="A28" s="1"/>
      <c r="B28" s="10" t="s">
        <v>5</v>
      </c>
      <c r="C28" s="2"/>
      <c r="D28" s="2"/>
      <c r="E28" s="2"/>
      <c r="F28" s="2"/>
      <c r="G28" s="2"/>
      <c r="H28" s="2"/>
      <c r="I28" s="7" t="s">
        <v>79</v>
      </c>
      <c r="J28" s="65">
        <v>0.93400000000000005</v>
      </c>
      <c r="K28" s="2" t="s">
        <v>77</v>
      </c>
    </row>
    <row r="29" spans="1:13" ht="15" customHeight="1">
      <c r="A29" s="1"/>
      <c r="B29" s="10" t="s">
        <v>149</v>
      </c>
      <c r="C29" s="2"/>
      <c r="D29" s="2"/>
      <c r="E29" s="2"/>
      <c r="F29" s="2"/>
      <c r="G29" s="2"/>
      <c r="H29" s="2"/>
      <c r="I29" s="7" t="s">
        <v>150</v>
      </c>
      <c r="J29" s="65">
        <v>70</v>
      </c>
      <c r="K29" s="2" t="s">
        <v>151</v>
      </c>
    </row>
    <row r="30" spans="1:13" ht="15" customHeight="1">
      <c r="A30" s="10"/>
      <c r="B30" s="10" t="s">
        <v>7</v>
      </c>
      <c r="C30" s="10"/>
      <c r="D30" s="10"/>
      <c r="E30" s="10"/>
      <c r="F30" s="10"/>
      <c r="G30" s="10"/>
      <c r="H30" s="10"/>
      <c r="I30" s="7" t="s">
        <v>0</v>
      </c>
      <c r="J30" s="63">
        <v>4</v>
      </c>
      <c r="K30" s="79"/>
      <c r="L30" s="10"/>
      <c r="M30" s="10"/>
    </row>
    <row r="31" spans="1:13" ht="15" customHeight="1">
      <c r="A31" s="1"/>
      <c r="B31" s="10"/>
      <c r="C31" s="2"/>
      <c r="D31" s="2"/>
      <c r="E31" s="2"/>
      <c r="F31" s="2"/>
      <c r="G31" s="2"/>
      <c r="H31" s="2"/>
      <c r="I31" s="7"/>
      <c r="J31" s="79"/>
      <c r="K31" s="2"/>
    </row>
    <row r="32" spans="1:13" ht="15" customHeight="1">
      <c r="A32" s="1"/>
      <c r="B32" s="10" t="s">
        <v>2</v>
      </c>
      <c r="C32" s="2"/>
      <c r="D32" s="2"/>
      <c r="E32" s="2"/>
      <c r="F32" s="2"/>
      <c r="G32" s="2"/>
      <c r="H32" s="2"/>
      <c r="I32" s="7" t="s">
        <v>101</v>
      </c>
      <c r="J32" s="71">
        <v>320</v>
      </c>
      <c r="K32" s="5" t="s">
        <v>78</v>
      </c>
    </row>
    <row r="33" spans="1:13" ht="15" customHeight="1">
      <c r="A33" s="1"/>
      <c r="B33" s="2" t="s">
        <v>12</v>
      </c>
      <c r="C33" s="2"/>
      <c r="D33" s="2"/>
      <c r="E33" s="2"/>
      <c r="F33" s="2"/>
      <c r="G33" s="2"/>
      <c r="H33" s="2"/>
      <c r="I33" s="4" t="s">
        <v>165</v>
      </c>
      <c r="J33" s="71">
        <v>178.4</v>
      </c>
      <c r="K33" s="5" t="s">
        <v>78</v>
      </c>
      <c r="M33" s="30"/>
    </row>
    <row r="34" spans="1:13" ht="15" customHeight="1">
      <c r="A34" s="1"/>
      <c r="B34" s="2" t="s">
        <v>13</v>
      </c>
      <c r="C34" s="2"/>
      <c r="D34" s="2"/>
      <c r="E34" s="2"/>
      <c r="F34" s="2"/>
      <c r="G34" s="2"/>
      <c r="H34" s="2"/>
      <c r="I34" s="4" t="s">
        <v>166</v>
      </c>
      <c r="J34" s="71">
        <v>19.3</v>
      </c>
      <c r="K34" s="5" t="s">
        <v>78</v>
      </c>
      <c r="M34" s="30"/>
    </row>
    <row r="35" spans="1:13" ht="15" customHeight="1">
      <c r="A35" s="1"/>
      <c r="B35" s="10"/>
      <c r="C35" s="2"/>
      <c r="D35" s="2"/>
      <c r="E35" s="2"/>
      <c r="F35" s="2"/>
      <c r="G35" s="2"/>
      <c r="H35" s="2"/>
      <c r="I35" s="7"/>
      <c r="J35" s="79"/>
      <c r="K35" s="2"/>
    </row>
    <row r="36" spans="1:13" ht="15" customHeight="1">
      <c r="A36" s="1"/>
      <c r="B36" s="26" t="s">
        <v>106</v>
      </c>
      <c r="C36" s="26"/>
      <c r="D36" s="26"/>
      <c r="E36" s="26"/>
      <c r="F36" s="26"/>
      <c r="G36" s="26"/>
      <c r="H36" s="26"/>
      <c r="I36" s="59" t="s">
        <v>107</v>
      </c>
      <c r="J36" s="65">
        <v>132.80000000000001</v>
      </c>
      <c r="K36" s="27" t="s">
        <v>78</v>
      </c>
    </row>
    <row r="37" spans="1:13" ht="15" customHeight="1">
      <c r="A37" s="1"/>
      <c r="B37" s="26"/>
      <c r="C37" s="26"/>
      <c r="D37" s="26"/>
      <c r="E37" s="26"/>
      <c r="F37" s="26"/>
      <c r="G37" s="26"/>
      <c r="H37" s="26"/>
      <c r="I37" s="59" t="s">
        <v>108</v>
      </c>
      <c r="J37" s="65">
        <v>21.5</v>
      </c>
      <c r="K37" s="27" t="s">
        <v>78</v>
      </c>
    </row>
    <row r="39" spans="1:13" ht="15" customHeight="1">
      <c r="A39" s="1"/>
      <c r="B39" s="10" t="s">
        <v>118</v>
      </c>
      <c r="C39" s="2"/>
      <c r="D39" s="2"/>
      <c r="E39" s="7" t="s">
        <v>6</v>
      </c>
      <c r="F39" s="63">
        <v>2.5</v>
      </c>
      <c r="G39" s="2" t="s">
        <v>82</v>
      </c>
      <c r="I39" s="7" t="s">
        <v>6</v>
      </c>
      <c r="J39" s="34">
        <f>ROUND(F39/60,3)</f>
        <v>4.2000000000000003E-2</v>
      </c>
      <c r="K39" s="2" t="s">
        <v>89</v>
      </c>
    </row>
    <row r="40" spans="1:13" ht="15" customHeight="1">
      <c r="A40" s="10"/>
      <c r="B40" s="10"/>
      <c r="C40" s="10"/>
      <c r="D40" s="4"/>
      <c r="E40" s="25"/>
      <c r="F40" s="2"/>
      <c r="G40" s="2"/>
      <c r="H40" s="10"/>
      <c r="I40" s="4"/>
      <c r="J40" s="13"/>
      <c r="K40" s="13"/>
      <c r="L40" s="2"/>
      <c r="M40" s="10"/>
    </row>
    <row r="41" spans="1:13" ht="15" customHeight="1" thickBot="1">
      <c r="A41" s="10"/>
      <c r="B41" s="62" t="s">
        <v>36</v>
      </c>
      <c r="C41" s="10"/>
      <c r="D41" s="4"/>
      <c r="E41" s="14"/>
      <c r="F41" s="2"/>
      <c r="G41" s="2"/>
      <c r="H41" s="10"/>
      <c r="I41" s="4"/>
      <c r="J41" s="11"/>
      <c r="K41" s="11"/>
      <c r="L41" s="2"/>
      <c r="M41" s="10"/>
    </row>
    <row r="42" spans="1:13" ht="15" customHeight="1" thickBot="1">
      <c r="A42" s="10"/>
      <c r="B42" s="148" t="s">
        <v>18</v>
      </c>
      <c r="C42" s="149"/>
      <c r="D42" s="150"/>
      <c r="E42" s="110">
        <v>1</v>
      </c>
      <c r="F42" s="110">
        <v>2</v>
      </c>
      <c r="G42" s="111">
        <v>3</v>
      </c>
      <c r="H42" s="110">
        <v>4</v>
      </c>
      <c r="I42" s="111">
        <v>5</v>
      </c>
      <c r="J42" s="112">
        <v>6</v>
      </c>
      <c r="K42" s="76"/>
      <c r="L42" s="2"/>
      <c r="M42" s="10"/>
    </row>
    <row r="43" spans="1:13" ht="15" customHeight="1">
      <c r="A43" s="10"/>
      <c r="B43" s="137" t="s">
        <v>67</v>
      </c>
      <c r="C43" s="138"/>
      <c r="D43" s="139"/>
      <c r="E43" s="105" t="s">
        <v>46</v>
      </c>
      <c r="F43" s="105" t="s">
        <v>46</v>
      </c>
      <c r="G43" s="105" t="s">
        <v>46</v>
      </c>
      <c r="H43" s="105" t="s">
        <v>207</v>
      </c>
      <c r="I43" s="105" t="s">
        <v>207</v>
      </c>
      <c r="J43" s="106" t="s">
        <v>207</v>
      </c>
      <c r="K43" s="47"/>
      <c r="L43" s="2"/>
      <c r="M43" s="10"/>
    </row>
    <row r="44" spans="1:13" ht="15" customHeight="1">
      <c r="A44" s="10"/>
      <c r="B44" s="140"/>
      <c r="C44" s="141"/>
      <c r="D44" s="142"/>
      <c r="E44" s="181" t="s">
        <v>206</v>
      </c>
      <c r="F44" s="24" t="s">
        <v>48</v>
      </c>
      <c r="G44" s="16" t="s">
        <v>44</v>
      </c>
      <c r="H44" s="16" t="s">
        <v>44</v>
      </c>
      <c r="I44" s="16" t="s">
        <v>44</v>
      </c>
      <c r="J44" s="107" t="s">
        <v>44</v>
      </c>
      <c r="K44" s="47"/>
      <c r="L44" s="2"/>
      <c r="M44" s="10"/>
    </row>
    <row r="45" spans="1:13" ht="15" customHeight="1" thickBot="1">
      <c r="A45" s="10"/>
      <c r="B45" s="143"/>
      <c r="C45" s="144"/>
      <c r="D45" s="145"/>
      <c r="E45" s="108" t="s">
        <v>47</v>
      </c>
      <c r="F45" s="108" t="s">
        <v>47</v>
      </c>
      <c r="G45" s="108" t="s">
        <v>47</v>
      </c>
      <c r="H45" s="108" t="s">
        <v>47</v>
      </c>
      <c r="I45" s="102" t="s">
        <v>44</v>
      </c>
      <c r="J45" s="109" t="s">
        <v>44</v>
      </c>
      <c r="K45" s="77"/>
      <c r="L45" s="2"/>
      <c r="M45" s="10"/>
    </row>
    <row r="46" spans="1:13" ht="15" customHeight="1">
      <c r="A46" s="10"/>
      <c r="B46" s="151" t="s">
        <v>55</v>
      </c>
      <c r="C46" s="177" t="s">
        <v>170</v>
      </c>
      <c r="D46" s="67" t="s">
        <v>15</v>
      </c>
      <c r="E46" s="113">
        <f>G100</f>
        <v>26.98934980392157</v>
      </c>
      <c r="F46" s="113">
        <f>G100</f>
        <v>26.98934980392157</v>
      </c>
      <c r="G46" s="113">
        <f>G105</f>
        <v>29.442927058823532</v>
      </c>
      <c r="H46" s="113">
        <f>G105</f>
        <v>29.442927058823532</v>
      </c>
      <c r="I46" s="113">
        <f>G105</f>
        <v>29.442927058823532</v>
      </c>
      <c r="J46" s="114">
        <f>G105</f>
        <v>29.442927058823532</v>
      </c>
      <c r="K46" s="74"/>
      <c r="L46" s="2"/>
      <c r="M46" s="10"/>
    </row>
    <row r="47" spans="1:13" ht="15" customHeight="1" thickBot="1">
      <c r="A47" s="10"/>
      <c r="B47" s="140"/>
      <c r="C47" s="178"/>
      <c r="D47" s="21" t="s">
        <v>14</v>
      </c>
      <c r="E47" s="22">
        <f>G99</f>
        <v>22.070650196078429</v>
      </c>
      <c r="F47" s="22">
        <f>G99</f>
        <v>22.070650196078429</v>
      </c>
      <c r="G47" s="22">
        <f>G104</f>
        <v>24.077072941176471</v>
      </c>
      <c r="H47" s="22">
        <f>G104</f>
        <v>24.077072941176471</v>
      </c>
      <c r="I47" s="22">
        <f>G104</f>
        <v>24.077072941176471</v>
      </c>
      <c r="J47" s="117">
        <f>G104</f>
        <v>24.077072941176471</v>
      </c>
      <c r="K47" s="74"/>
      <c r="L47" s="2"/>
      <c r="M47" s="10"/>
    </row>
    <row r="48" spans="1:13" ht="15" customHeight="1">
      <c r="A48" s="10"/>
      <c r="B48" s="140"/>
      <c r="C48" s="179" t="s">
        <v>171</v>
      </c>
      <c r="D48" s="119" t="s">
        <v>17</v>
      </c>
      <c r="E48" s="120">
        <f>G122</f>
        <v>117.16102039215686</v>
      </c>
      <c r="F48" s="120">
        <f>G128</f>
        <v>104.05915372549019</v>
      </c>
      <c r="G48" s="121" t="s">
        <v>44</v>
      </c>
      <c r="H48" s="120">
        <f>G134</f>
        <v>121.92669176470588</v>
      </c>
      <c r="I48" s="120">
        <f>G134</f>
        <v>121.92669176470588</v>
      </c>
      <c r="J48" s="122">
        <f>G134</f>
        <v>121.92669176470588</v>
      </c>
      <c r="K48" s="75"/>
      <c r="L48" s="2"/>
      <c r="M48" s="10"/>
    </row>
    <row r="49" spans="1:13" ht="15" customHeight="1" thickBot="1">
      <c r="A49" s="10"/>
      <c r="B49" s="143"/>
      <c r="C49" s="180"/>
      <c r="D49" s="48" t="s">
        <v>16</v>
      </c>
      <c r="E49" s="115">
        <f>G121</f>
        <v>25.498979607843133</v>
      </c>
      <c r="F49" s="115">
        <f>G127</f>
        <v>25.000846274509801</v>
      </c>
      <c r="G49" s="104" t="s">
        <v>44</v>
      </c>
      <c r="H49" s="115">
        <f>G133</f>
        <v>27.593308235294121</v>
      </c>
      <c r="I49" s="115">
        <f>G133</f>
        <v>27.593308235294121</v>
      </c>
      <c r="J49" s="116">
        <f>G133</f>
        <v>27.593308235294121</v>
      </c>
      <c r="K49" s="75"/>
      <c r="L49" s="2"/>
      <c r="M49" s="10"/>
    </row>
    <row r="50" spans="1:13" ht="15" customHeight="1">
      <c r="A50" s="10"/>
      <c r="B50" s="151" t="s">
        <v>56</v>
      </c>
      <c r="C50" s="174" t="s">
        <v>27</v>
      </c>
      <c r="D50" s="67" t="s">
        <v>23</v>
      </c>
      <c r="E50" s="123">
        <f t="shared" ref="E50:H51" si="0">$J$148</f>
        <v>16.190000000000001</v>
      </c>
      <c r="F50" s="123">
        <f t="shared" si="0"/>
        <v>16.190000000000001</v>
      </c>
      <c r="G50" s="123">
        <f t="shared" si="0"/>
        <v>16.190000000000001</v>
      </c>
      <c r="H50" s="123">
        <f t="shared" si="0"/>
        <v>16.190000000000001</v>
      </c>
      <c r="I50" s="121" t="s">
        <v>44</v>
      </c>
      <c r="J50" s="124" t="s">
        <v>44</v>
      </c>
      <c r="K50" s="53"/>
      <c r="L50" s="2"/>
      <c r="M50" s="10"/>
    </row>
    <row r="51" spans="1:13" ht="15" customHeight="1">
      <c r="A51" s="10"/>
      <c r="B51" s="140"/>
      <c r="C51" s="176"/>
      <c r="D51" s="17" t="s">
        <v>24</v>
      </c>
      <c r="E51" s="125">
        <f t="shared" si="0"/>
        <v>16.190000000000001</v>
      </c>
      <c r="F51" s="125">
        <f t="shared" si="0"/>
        <v>16.190000000000001</v>
      </c>
      <c r="G51" s="125">
        <f t="shared" si="0"/>
        <v>16.190000000000001</v>
      </c>
      <c r="H51" s="125">
        <f t="shared" si="0"/>
        <v>16.190000000000001</v>
      </c>
      <c r="I51" s="126" t="s">
        <v>44</v>
      </c>
      <c r="J51" s="127" t="s">
        <v>44</v>
      </c>
      <c r="K51" s="53"/>
      <c r="L51" s="2"/>
      <c r="M51" s="10"/>
    </row>
    <row r="52" spans="1:13" ht="15" customHeight="1">
      <c r="A52" s="10"/>
      <c r="B52" s="140"/>
      <c r="C52" s="176"/>
      <c r="D52" s="17" t="s">
        <v>25</v>
      </c>
      <c r="E52" s="125">
        <f>$J$159</f>
        <v>8.74</v>
      </c>
      <c r="F52" s="125">
        <f>$J$159</f>
        <v>8.74</v>
      </c>
      <c r="G52" s="125">
        <f>$J$159</f>
        <v>8.74</v>
      </c>
      <c r="H52" s="125">
        <f>$J$159</f>
        <v>8.74</v>
      </c>
      <c r="I52" s="126" t="s">
        <v>44</v>
      </c>
      <c r="J52" s="127" t="s">
        <v>44</v>
      </c>
      <c r="K52" s="53"/>
      <c r="L52" s="2"/>
      <c r="M52" s="10"/>
    </row>
    <row r="53" spans="1:13" ht="15" customHeight="1" thickBot="1">
      <c r="A53" s="10"/>
      <c r="B53" s="140"/>
      <c r="C53" s="175"/>
      <c r="D53" s="21" t="s">
        <v>26</v>
      </c>
      <c r="E53" s="128">
        <f>$J$160</f>
        <v>39.840000000000003</v>
      </c>
      <c r="F53" s="128">
        <f>$J$160</f>
        <v>39.840000000000003</v>
      </c>
      <c r="G53" s="128">
        <f>$J$160</f>
        <v>39.840000000000003</v>
      </c>
      <c r="H53" s="128">
        <f>$J$160</f>
        <v>39.840000000000003</v>
      </c>
      <c r="I53" s="129" t="s">
        <v>44</v>
      </c>
      <c r="J53" s="130" t="s">
        <v>44</v>
      </c>
      <c r="K53" s="53"/>
      <c r="L53" s="2"/>
      <c r="M53" s="10"/>
    </row>
    <row r="54" spans="1:13" ht="15" customHeight="1">
      <c r="A54" s="10"/>
      <c r="B54" s="140"/>
      <c r="C54" s="174" t="s">
        <v>34</v>
      </c>
      <c r="D54" s="67" t="s">
        <v>31</v>
      </c>
      <c r="E54" s="121" t="s">
        <v>44</v>
      </c>
      <c r="F54" s="121" t="s">
        <v>44</v>
      </c>
      <c r="G54" s="121" t="s">
        <v>44</v>
      </c>
      <c r="H54" s="121" t="s">
        <v>44</v>
      </c>
      <c r="I54" s="123">
        <f>C188</f>
        <v>0</v>
      </c>
      <c r="J54" s="124" t="s">
        <v>44</v>
      </c>
      <c r="K54" s="60"/>
      <c r="L54" s="2"/>
      <c r="M54" s="10"/>
    </row>
    <row r="55" spans="1:13" ht="15" customHeight="1">
      <c r="A55" s="10"/>
      <c r="B55" s="140"/>
      <c r="C55" s="176"/>
      <c r="D55" s="17" t="s">
        <v>32</v>
      </c>
      <c r="E55" s="126" t="s">
        <v>44</v>
      </c>
      <c r="F55" s="126" t="s">
        <v>44</v>
      </c>
      <c r="G55" s="126" t="s">
        <v>44</v>
      </c>
      <c r="H55" s="126" t="s">
        <v>44</v>
      </c>
      <c r="I55" s="125">
        <f>C189</f>
        <v>0</v>
      </c>
      <c r="J55" s="127" t="s">
        <v>44</v>
      </c>
      <c r="K55" s="60"/>
      <c r="L55" s="2"/>
      <c r="M55" s="10"/>
    </row>
    <row r="56" spans="1:13" ht="15" customHeight="1">
      <c r="A56" s="10"/>
      <c r="B56" s="140"/>
      <c r="C56" s="176"/>
      <c r="D56" s="17" t="s">
        <v>29</v>
      </c>
      <c r="E56" s="126" t="s">
        <v>44</v>
      </c>
      <c r="F56" s="126" t="s">
        <v>44</v>
      </c>
      <c r="G56" s="126" t="s">
        <v>44</v>
      </c>
      <c r="H56" s="126" t="s">
        <v>44</v>
      </c>
      <c r="I56" s="125">
        <f>H194</f>
        <v>67.451376706508029</v>
      </c>
      <c r="J56" s="127" t="s">
        <v>44</v>
      </c>
      <c r="K56" s="60"/>
      <c r="L56" s="2"/>
      <c r="M56" s="10"/>
    </row>
    <row r="57" spans="1:13" ht="15" customHeight="1" thickBot="1">
      <c r="A57" s="10"/>
      <c r="B57" s="143"/>
      <c r="C57" s="175"/>
      <c r="D57" s="103" t="s">
        <v>30</v>
      </c>
      <c r="E57" s="129" t="s">
        <v>44</v>
      </c>
      <c r="F57" s="129" t="s">
        <v>44</v>
      </c>
      <c r="G57" s="129" t="s">
        <v>44</v>
      </c>
      <c r="H57" s="129" t="s">
        <v>44</v>
      </c>
      <c r="I57" s="128">
        <f>H195</f>
        <v>30.3901807139212</v>
      </c>
      <c r="J57" s="130" t="s">
        <v>44</v>
      </c>
      <c r="K57" s="60"/>
      <c r="L57" s="2"/>
      <c r="M57" s="10"/>
    </row>
    <row r="58" spans="1:13" ht="15" customHeight="1" thickBot="1">
      <c r="A58" s="10"/>
      <c r="B58" s="146" t="s">
        <v>35</v>
      </c>
      <c r="C58" s="147"/>
      <c r="D58" s="118" t="s">
        <v>33</v>
      </c>
      <c r="E58" s="131" t="s">
        <v>44</v>
      </c>
      <c r="F58" s="131" t="s">
        <v>44</v>
      </c>
      <c r="G58" s="131" t="s">
        <v>44</v>
      </c>
      <c r="H58" s="131" t="s">
        <v>44</v>
      </c>
      <c r="I58" s="131" t="s">
        <v>44</v>
      </c>
      <c r="J58" s="132">
        <f>D207</f>
        <v>33.93</v>
      </c>
      <c r="K58" s="53"/>
      <c r="L58" s="2"/>
      <c r="M58" s="10"/>
    </row>
    <row r="59" spans="1:13" s="56" customFormat="1" ht="15" customHeight="1">
      <c r="A59" s="57"/>
      <c r="B59" s="58"/>
      <c r="C59" s="58"/>
      <c r="D59" s="59"/>
      <c r="E59" s="60"/>
      <c r="F59" s="60"/>
      <c r="G59" s="60"/>
      <c r="H59" s="61"/>
      <c r="I59" s="53"/>
      <c r="J59" s="53"/>
      <c r="K59" s="53"/>
      <c r="L59" s="55"/>
      <c r="M59" s="57"/>
    </row>
    <row r="60" spans="1:13" ht="15" customHeight="1">
      <c r="A60" s="10"/>
      <c r="B60" s="10"/>
      <c r="C60" s="10"/>
      <c r="D60" s="10"/>
      <c r="E60" s="10"/>
      <c r="F60" s="10"/>
      <c r="G60" s="10"/>
      <c r="H60" s="10"/>
      <c r="I60" s="7"/>
      <c r="J60" s="6"/>
      <c r="K60" s="6"/>
      <c r="L60" s="10"/>
      <c r="M60" s="10"/>
    </row>
    <row r="61" spans="1:13" ht="15" customHeight="1">
      <c r="A61" s="10"/>
      <c r="B61" s="62" t="s">
        <v>80</v>
      </c>
      <c r="E61" s="2"/>
      <c r="F61" s="2"/>
      <c r="G61" s="2"/>
      <c r="H61" s="2"/>
      <c r="I61" s="7"/>
      <c r="J61" s="11"/>
      <c r="K61" s="11"/>
      <c r="L61" s="10"/>
      <c r="M61" s="10"/>
    </row>
    <row r="62" spans="1:13" ht="15" customHeight="1">
      <c r="A62" s="10"/>
      <c r="B62" s="166" t="s">
        <v>81</v>
      </c>
      <c r="C62" s="167"/>
      <c r="D62" s="167"/>
      <c r="E62" s="72" t="s">
        <v>102</v>
      </c>
      <c r="F62" s="39"/>
      <c r="G62" s="23"/>
      <c r="H62" s="23"/>
      <c r="I62" s="37" t="s">
        <v>37</v>
      </c>
      <c r="J62" s="80">
        <v>1.1000000000000001</v>
      </c>
      <c r="K62" s="40"/>
      <c r="L62" s="23"/>
      <c r="M62" s="54" t="s">
        <v>88</v>
      </c>
    </row>
    <row r="63" spans="1:13" ht="15" customHeight="1">
      <c r="A63" s="10" t="s">
        <v>83</v>
      </c>
      <c r="B63" s="167"/>
      <c r="C63" s="167"/>
      <c r="D63" s="167"/>
      <c r="E63" s="72" t="s">
        <v>103</v>
      </c>
      <c r="F63" s="23"/>
      <c r="G63" s="23"/>
      <c r="H63" s="23"/>
      <c r="I63" s="9" t="s">
        <v>38</v>
      </c>
      <c r="J63" s="63">
        <v>1.1499999999999999</v>
      </c>
      <c r="K63" s="79"/>
      <c r="L63" s="9" t="s">
        <v>43</v>
      </c>
      <c r="M63" s="63">
        <v>0.51</v>
      </c>
    </row>
    <row r="64" spans="1:13" ht="15" customHeight="1">
      <c r="A64" s="10"/>
      <c r="B64" s="167"/>
      <c r="C64" s="167"/>
      <c r="D64" s="167"/>
      <c r="E64" s="5" t="s">
        <v>104</v>
      </c>
      <c r="F64" s="23"/>
      <c r="G64" s="23"/>
      <c r="H64" s="23"/>
      <c r="I64" s="37" t="s">
        <v>39</v>
      </c>
      <c r="J64" s="68">
        <f>ROUND(J63+M63*J39,2)</f>
        <v>1.17</v>
      </c>
      <c r="K64" s="68"/>
      <c r="L64" s="23"/>
      <c r="M64" s="54" t="s">
        <v>90</v>
      </c>
    </row>
    <row r="65" spans="1:13" ht="15" customHeight="1">
      <c r="A65" s="10"/>
      <c r="B65" s="167"/>
      <c r="C65" s="167"/>
      <c r="D65" s="167"/>
      <c r="E65" s="5" t="s">
        <v>105</v>
      </c>
      <c r="F65" s="23"/>
      <c r="G65" s="23"/>
      <c r="H65" s="23"/>
      <c r="I65" s="37" t="s">
        <v>40</v>
      </c>
      <c r="J65" s="65">
        <v>1</v>
      </c>
      <c r="K65" s="28"/>
      <c r="L65" s="23"/>
      <c r="M65" s="54" t="s">
        <v>88</v>
      </c>
    </row>
    <row r="66" spans="1:13" ht="15" customHeight="1">
      <c r="A66" s="64"/>
      <c r="B66" s="168" t="s">
        <v>68</v>
      </c>
      <c r="C66" s="169"/>
      <c r="D66" s="170"/>
      <c r="E66" s="72" t="s">
        <v>69</v>
      </c>
      <c r="F66" s="38"/>
      <c r="H66" s="23"/>
      <c r="I66" s="37" t="s">
        <v>41</v>
      </c>
      <c r="J66" s="80">
        <v>1.2</v>
      </c>
      <c r="K66" s="40"/>
      <c r="L66" s="23"/>
      <c r="M66" s="54" t="s">
        <v>88</v>
      </c>
    </row>
    <row r="67" spans="1:13" ht="15" customHeight="1">
      <c r="A67" s="64"/>
      <c r="B67" s="45"/>
      <c r="C67" s="45"/>
      <c r="D67" s="45"/>
      <c r="E67" s="82" t="s">
        <v>110</v>
      </c>
      <c r="F67" s="38"/>
      <c r="H67" s="23"/>
      <c r="I67" s="37"/>
      <c r="J67" s="81"/>
      <c r="K67" s="40"/>
      <c r="L67" s="23"/>
      <c r="M67" s="54"/>
    </row>
    <row r="68" spans="1:13" ht="15" customHeight="1">
      <c r="A68" s="10"/>
      <c r="B68" s="168" t="s">
        <v>8</v>
      </c>
      <c r="C68" s="169"/>
      <c r="D68" s="170"/>
      <c r="E68" s="23"/>
      <c r="F68" s="23"/>
      <c r="G68" s="23"/>
      <c r="H68" s="23"/>
      <c r="I68" s="37" t="s">
        <v>42</v>
      </c>
      <c r="J68" s="63">
        <v>1.5</v>
      </c>
      <c r="K68" s="79"/>
      <c r="L68" s="23"/>
      <c r="M68" s="54" t="s">
        <v>91</v>
      </c>
    </row>
    <row r="69" spans="1:13" ht="15" customHeight="1">
      <c r="A69" s="10"/>
      <c r="B69" s="45"/>
      <c r="C69" s="45"/>
      <c r="D69" s="45"/>
      <c r="E69" s="23"/>
      <c r="F69" s="23"/>
      <c r="G69" s="23"/>
      <c r="H69" s="23"/>
      <c r="I69" s="37"/>
      <c r="J69" s="79"/>
      <c r="K69" s="79"/>
      <c r="L69" s="23"/>
      <c r="M69" s="54"/>
    </row>
    <row r="70" spans="1:13" ht="15" customHeight="1">
      <c r="A70" s="10"/>
      <c r="B70" s="45"/>
      <c r="C70" s="45"/>
      <c r="D70" s="45"/>
      <c r="E70" s="23"/>
      <c r="F70" s="23"/>
      <c r="G70" s="23"/>
      <c r="H70" s="23"/>
      <c r="I70" s="37"/>
      <c r="J70" s="79"/>
      <c r="K70" s="79"/>
      <c r="L70" s="23"/>
      <c r="M70" s="54"/>
    </row>
    <row r="71" spans="1:13" ht="15" customHeight="1">
      <c r="A71" s="10"/>
      <c r="B71" s="45"/>
      <c r="C71" s="45"/>
      <c r="D71" s="45"/>
      <c r="E71" s="23"/>
      <c r="F71" s="23"/>
      <c r="G71" s="23"/>
      <c r="H71" s="23"/>
      <c r="I71" s="37"/>
      <c r="J71" s="79"/>
      <c r="K71" s="79"/>
      <c r="L71" s="23"/>
      <c r="M71" s="54"/>
    </row>
    <row r="72" spans="1:13" ht="15" customHeight="1">
      <c r="A72" s="10"/>
      <c r="B72" s="45"/>
      <c r="C72" s="45"/>
      <c r="D72" s="45"/>
      <c r="E72" s="23"/>
      <c r="F72" s="23"/>
      <c r="G72" s="23"/>
      <c r="H72" s="23"/>
      <c r="I72" s="37"/>
      <c r="J72" s="79"/>
      <c r="K72" s="79"/>
      <c r="L72" s="23"/>
      <c r="M72" s="54"/>
    </row>
    <row r="73" spans="1:13" ht="15" customHeight="1">
      <c r="A73" s="10"/>
      <c r="B73" s="62" t="s">
        <v>119</v>
      </c>
      <c r="C73" s="45"/>
      <c r="D73" s="45"/>
      <c r="E73" s="23"/>
      <c r="F73" s="23"/>
      <c r="G73" s="23"/>
      <c r="H73" s="23"/>
      <c r="I73" s="37"/>
      <c r="J73" s="79"/>
      <c r="K73" s="79"/>
      <c r="L73" s="23"/>
      <c r="M73" s="54"/>
    </row>
    <row r="74" spans="1:13" ht="15.75" customHeight="1">
      <c r="A74" s="10"/>
      <c r="B74" s="54" t="s">
        <v>92</v>
      </c>
      <c r="C74" s="10"/>
      <c r="D74" s="35"/>
      <c r="E74" s="8"/>
      <c r="F74" s="10"/>
      <c r="G74" s="10"/>
      <c r="H74" s="182" t="s">
        <v>93</v>
      </c>
      <c r="I74" s="35"/>
      <c r="J74" s="8"/>
      <c r="K74" s="8"/>
      <c r="L74" s="133" t="s">
        <v>208</v>
      </c>
      <c r="M74" s="36"/>
    </row>
    <row r="75" spans="1:13" ht="15" customHeight="1">
      <c r="A75" s="10"/>
      <c r="B75" s="171" t="s">
        <v>18</v>
      </c>
      <c r="C75" s="172"/>
      <c r="D75" s="173"/>
      <c r="E75" s="19">
        <v>1</v>
      </c>
      <c r="F75" s="19">
        <v>2</v>
      </c>
      <c r="G75" s="20">
        <v>3</v>
      </c>
      <c r="H75" s="19">
        <v>4</v>
      </c>
      <c r="I75" s="20">
        <v>5</v>
      </c>
      <c r="J75" s="70">
        <v>6</v>
      </c>
      <c r="K75" s="70">
        <v>7</v>
      </c>
      <c r="L75" s="19">
        <v>8</v>
      </c>
    </row>
    <row r="76" spans="1:13" ht="15" customHeight="1">
      <c r="A76" s="10"/>
      <c r="B76" s="161" t="s">
        <v>170</v>
      </c>
      <c r="C76" s="162"/>
      <c r="D76" s="78" t="s">
        <v>109</v>
      </c>
      <c r="E76" s="41" t="s">
        <v>70</v>
      </c>
      <c r="F76" s="41" t="s">
        <v>70</v>
      </c>
      <c r="G76" s="69">
        <v>1</v>
      </c>
      <c r="H76" s="41" t="s">
        <v>73</v>
      </c>
      <c r="I76" s="41" t="s">
        <v>73</v>
      </c>
      <c r="J76" s="41" t="s">
        <v>73</v>
      </c>
      <c r="K76" s="41">
        <v>1</v>
      </c>
      <c r="L76" s="41" t="s">
        <v>70</v>
      </c>
      <c r="M76" s="54" t="s">
        <v>94</v>
      </c>
    </row>
    <row r="77" spans="1:13" ht="15" customHeight="1">
      <c r="A77" s="10"/>
      <c r="B77" s="156" t="s">
        <v>171</v>
      </c>
      <c r="C77" s="157"/>
      <c r="D77" s="78" t="s">
        <v>45</v>
      </c>
      <c r="E77" s="42" t="s">
        <v>71</v>
      </c>
      <c r="F77" s="42" t="s">
        <v>72</v>
      </c>
      <c r="G77" s="42" t="s">
        <v>44</v>
      </c>
      <c r="H77" s="42" t="s">
        <v>73</v>
      </c>
      <c r="I77" s="42" t="s">
        <v>73</v>
      </c>
      <c r="J77" s="42" t="s">
        <v>73</v>
      </c>
      <c r="K77" s="84" t="s">
        <v>172</v>
      </c>
      <c r="L77" s="42" t="s">
        <v>44</v>
      </c>
      <c r="M77" s="54" t="s">
        <v>94</v>
      </c>
    </row>
    <row r="78" spans="1:13" ht="15" customHeight="1">
      <c r="A78" s="10"/>
      <c r="B78" s="161" t="s">
        <v>173</v>
      </c>
      <c r="C78" s="162"/>
      <c r="D78" s="78" t="s">
        <v>112</v>
      </c>
      <c r="E78" s="42" t="s">
        <v>74</v>
      </c>
      <c r="F78" s="42" t="s">
        <v>74</v>
      </c>
      <c r="G78" s="42" t="s">
        <v>74</v>
      </c>
      <c r="H78" s="42" t="s">
        <v>74</v>
      </c>
      <c r="I78" s="42" t="s">
        <v>44</v>
      </c>
      <c r="J78" s="42" t="s">
        <v>44</v>
      </c>
      <c r="K78" s="42" t="s">
        <v>44</v>
      </c>
      <c r="L78" s="42" t="s">
        <v>74</v>
      </c>
      <c r="M78" s="54" t="s">
        <v>95</v>
      </c>
    </row>
    <row r="79" spans="1:13" ht="15" customHeight="1">
      <c r="A79" s="10"/>
      <c r="B79" s="161" t="s">
        <v>174</v>
      </c>
      <c r="C79" s="162"/>
      <c r="D79" s="78" t="s">
        <v>113</v>
      </c>
      <c r="E79" s="42" t="s">
        <v>44</v>
      </c>
      <c r="F79" s="42" t="s">
        <v>44</v>
      </c>
      <c r="G79" s="42" t="s">
        <v>44</v>
      </c>
      <c r="H79" s="42" t="s">
        <v>44</v>
      </c>
      <c r="I79" s="42">
        <v>1</v>
      </c>
      <c r="J79" s="42" t="s">
        <v>44</v>
      </c>
      <c r="K79" s="42" t="s">
        <v>44</v>
      </c>
      <c r="L79" s="42" t="s">
        <v>44</v>
      </c>
      <c r="M79" s="54"/>
    </row>
    <row r="80" spans="1:13" ht="15" customHeight="1">
      <c r="A80" s="10"/>
      <c r="B80" s="156" t="s">
        <v>175</v>
      </c>
      <c r="C80" s="157"/>
      <c r="D80" s="78" t="s">
        <v>114</v>
      </c>
      <c r="E80" s="42" t="s">
        <v>44</v>
      </c>
      <c r="F80" s="42" t="s">
        <v>44</v>
      </c>
      <c r="G80" s="42" t="s">
        <v>44</v>
      </c>
      <c r="H80" s="42" t="s">
        <v>44</v>
      </c>
      <c r="I80" s="42" t="s">
        <v>44</v>
      </c>
      <c r="J80" s="42">
        <v>1</v>
      </c>
      <c r="K80" s="42" t="s">
        <v>44</v>
      </c>
      <c r="L80" s="42" t="s">
        <v>44</v>
      </c>
      <c r="M80" s="54"/>
    </row>
    <row r="81" spans="1:13" ht="15" customHeight="1">
      <c r="A81" s="10"/>
      <c r="B81" s="156" t="s">
        <v>176</v>
      </c>
      <c r="C81" s="157"/>
      <c r="D81" s="78" t="s">
        <v>177</v>
      </c>
      <c r="E81" s="85">
        <v>1</v>
      </c>
      <c r="F81" s="42">
        <v>1</v>
      </c>
      <c r="G81" s="42">
        <v>1</v>
      </c>
      <c r="H81" s="42">
        <v>1</v>
      </c>
      <c r="I81" s="42">
        <v>1</v>
      </c>
      <c r="J81" s="42" t="s">
        <v>44</v>
      </c>
      <c r="K81" s="42" t="s">
        <v>44</v>
      </c>
      <c r="L81" s="42">
        <v>1</v>
      </c>
      <c r="M81" s="54" t="s">
        <v>178</v>
      </c>
    </row>
    <row r="82" spans="1:13" ht="15" customHeight="1">
      <c r="A82" s="10"/>
      <c r="B82" s="156" t="s">
        <v>179</v>
      </c>
      <c r="C82" s="157"/>
      <c r="D82" s="78" t="s">
        <v>115</v>
      </c>
      <c r="E82" s="42" t="s">
        <v>44</v>
      </c>
      <c r="F82" s="42" t="s">
        <v>44</v>
      </c>
      <c r="G82" s="42" t="s">
        <v>44</v>
      </c>
      <c r="H82" s="42" t="s">
        <v>44</v>
      </c>
      <c r="I82" s="42" t="s">
        <v>44</v>
      </c>
      <c r="J82" s="42" t="s">
        <v>44</v>
      </c>
      <c r="K82" s="42" t="s">
        <v>44</v>
      </c>
      <c r="L82" s="83" t="s">
        <v>111</v>
      </c>
      <c r="M82" s="54"/>
    </row>
    <row r="83" spans="1:13" ht="15" customHeight="1">
      <c r="A83" s="10"/>
      <c r="B83" s="156" t="s">
        <v>180</v>
      </c>
      <c r="C83" s="157"/>
      <c r="D83" s="78" t="s">
        <v>116</v>
      </c>
      <c r="E83" s="42" t="s">
        <v>44</v>
      </c>
      <c r="F83" s="42" t="s">
        <v>44</v>
      </c>
      <c r="G83" s="42" t="s">
        <v>44</v>
      </c>
      <c r="H83" s="42" t="s">
        <v>44</v>
      </c>
      <c r="I83" s="42" t="s">
        <v>44</v>
      </c>
      <c r="J83" s="42" t="s">
        <v>44</v>
      </c>
      <c r="K83" s="42" t="s">
        <v>44</v>
      </c>
      <c r="L83" s="42" t="s">
        <v>44</v>
      </c>
      <c r="M83" s="54"/>
    </row>
    <row r="84" spans="1:13" ht="15" customHeight="1">
      <c r="A84" s="10"/>
      <c r="B84" s="156" t="s">
        <v>181</v>
      </c>
      <c r="C84" s="157"/>
      <c r="D84" s="41" t="s">
        <v>117</v>
      </c>
      <c r="E84" s="42" t="s">
        <v>44</v>
      </c>
      <c r="F84" s="42" t="s">
        <v>44</v>
      </c>
      <c r="G84" s="42" t="s">
        <v>44</v>
      </c>
      <c r="H84" s="42" t="s">
        <v>44</v>
      </c>
      <c r="I84" s="42" t="s">
        <v>44</v>
      </c>
      <c r="J84" s="42" t="s">
        <v>44</v>
      </c>
      <c r="K84" s="42" t="s">
        <v>44</v>
      </c>
      <c r="L84" s="42" t="s">
        <v>44</v>
      </c>
      <c r="M84" s="54"/>
    </row>
    <row r="85" spans="1:13" ht="15" customHeight="1">
      <c r="A85" s="10"/>
      <c r="B85" s="158" t="s">
        <v>182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60"/>
      <c r="M85" s="54"/>
    </row>
    <row r="86" spans="1:13" ht="15" customHeight="1">
      <c r="A86" s="10"/>
      <c r="B86" s="152" t="s">
        <v>183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4"/>
      <c r="M86" s="54"/>
    </row>
    <row r="87" spans="1:13" ht="15" customHeight="1">
      <c r="A87" s="10"/>
      <c r="B87" s="49"/>
      <c r="C87" s="49"/>
      <c r="D87" s="43"/>
      <c r="E87" s="50"/>
      <c r="F87" s="50"/>
      <c r="G87" s="50"/>
      <c r="H87" s="51"/>
      <c r="I87" s="52"/>
      <c r="J87" s="46"/>
      <c r="K87" s="46"/>
      <c r="L87" s="27"/>
      <c r="M87" s="10"/>
    </row>
    <row r="88" spans="1:13" ht="15" customHeight="1">
      <c r="A88" s="10"/>
      <c r="B88" s="90" t="s">
        <v>120</v>
      </c>
      <c r="C88" s="45"/>
      <c r="D88" s="45"/>
      <c r="E88" s="23"/>
      <c r="F88" s="23"/>
      <c r="G88" s="23"/>
      <c r="H88" s="23"/>
      <c r="I88" s="37"/>
      <c r="J88" s="79"/>
      <c r="K88" s="79"/>
      <c r="L88" s="23"/>
      <c r="M88" s="54"/>
    </row>
    <row r="89" spans="1:13" ht="15" customHeight="1">
      <c r="A89" s="10"/>
      <c r="B89" s="45"/>
      <c r="C89" s="45"/>
      <c r="D89" s="45"/>
      <c r="E89" s="23"/>
      <c r="F89" s="23"/>
      <c r="G89" s="23"/>
      <c r="H89" s="23"/>
      <c r="I89" s="37"/>
      <c r="J89" s="79"/>
      <c r="K89" s="79"/>
      <c r="L89" s="23"/>
      <c r="M89" s="54"/>
    </row>
    <row r="90" spans="1:13" ht="15" customHeight="1">
      <c r="A90" s="10"/>
      <c r="B90" s="45"/>
      <c r="C90" s="45"/>
      <c r="D90" s="45"/>
      <c r="E90" s="23"/>
      <c r="F90" s="23"/>
      <c r="G90" s="23"/>
      <c r="H90" s="23"/>
      <c r="I90" s="37"/>
      <c r="J90" s="79"/>
      <c r="K90" s="79"/>
      <c r="L90" s="23"/>
      <c r="M90" s="54"/>
    </row>
    <row r="91" spans="1:13" ht="15" customHeight="1">
      <c r="A91" s="10"/>
      <c r="B91" s="45"/>
      <c r="C91" s="45"/>
      <c r="D91" s="45"/>
      <c r="E91" s="23"/>
      <c r="F91" s="23"/>
      <c r="G91" s="23"/>
      <c r="H91" s="23"/>
      <c r="I91" s="37"/>
      <c r="J91" s="79"/>
      <c r="K91" s="79"/>
      <c r="L91" s="23"/>
      <c r="M91" s="54"/>
    </row>
    <row r="92" spans="1:13" ht="15" customHeight="1">
      <c r="A92" s="10"/>
      <c r="B92" s="45"/>
      <c r="C92" s="45"/>
      <c r="D92" s="45"/>
      <c r="E92" s="23"/>
      <c r="F92" s="23"/>
      <c r="G92" s="23"/>
      <c r="H92" s="23"/>
      <c r="I92" s="37"/>
      <c r="J92" s="79"/>
      <c r="K92" s="79"/>
      <c r="L92" s="23"/>
      <c r="M92" s="54"/>
    </row>
    <row r="93" spans="1:13" ht="15" customHeight="1">
      <c r="A93" s="10"/>
      <c r="B93" s="45"/>
      <c r="C93" s="45"/>
      <c r="D93" s="45"/>
      <c r="E93" s="23"/>
      <c r="F93" s="23"/>
      <c r="G93" s="23"/>
      <c r="H93" s="23"/>
      <c r="I93" s="37"/>
      <c r="J93" s="79"/>
      <c r="K93" s="79"/>
      <c r="L93" s="23"/>
      <c r="M93" s="54"/>
    </row>
    <row r="94" spans="1:13" ht="15" customHeight="1">
      <c r="A94" s="10"/>
      <c r="B94" s="45"/>
      <c r="C94" s="45"/>
      <c r="D94" s="45"/>
      <c r="E94" s="23"/>
      <c r="F94" s="23"/>
      <c r="G94" s="23"/>
      <c r="H94" s="23"/>
      <c r="I94" s="37"/>
      <c r="J94" s="79"/>
      <c r="K94" s="79"/>
      <c r="L94" s="23"/>
      <c r="M94" s="54"/>
    </row>
    <row r="95" spans="1:13" ht="15" customHeight="1">
      <c r="A95" s="10"/>
      <c r="B95" s="45"/>
      <c r="C95" s="45"/>
      <c r="D95" s="45"/>
      <c r="E95" s="23"/>
      <c r="F95" s="23"/>
      <c r="G95" s="23"/>
      <c r="H95" s="23"/>
      <c r="I95" s="37"/>
      <c r="J95" s="79"/>
      <c r="K95" s="79"/>
      <c r="L95" s="23"/>
      <c r="M95" s="54"/>
    </row>
    <row r="96" spans="1:13" ht="15" customHeight="1">
      <c r="A96" s="10"/>
      <c r="B96" s="86" t="s">
        <v>121</v>
      </c>
      <c r="C96" s="45"/>
      <c r="D96" s="45"/>
      <c r="E96" s="23"/>
      <c r="F96" s="23"/>
      <c r="G96" s="23"/>
      <c r="H96" s="23"/>
      <c r="I96" s="37"/>
      <c r="J96" s="79"/>
      <c r="K96" s="79"/>
      <c r="L96" s="23"/>
      <c r="M96" s="54"/>
    </row>
    <row r="97" spans="1:13" ht="15" customHeight="1">
      <c r="A97" s="10"/>
      <c r="B97" s="45" t="s">
        <v>167</v>
      </c>
      <c r="C97" s="87">
        <f>φ1*Qs</f>
        <v>196.24</v>
      </c>
      <c r="D97" s="86" t="s">
        <v>78</v>
      </c>
      <c r="E97" s="23"/>
      <c r="F97" s="23"/>
      <c r="G97" s="23"/>
      <c r="H97" s="23"/>
      <c r="I97" s="37"/>
      <c r="J97" s="79"/>
      <c r="K97" s="79"/>
      <c r="L97" s="23"/>
      <c r="M97" s="54"/>
    </row>
    <row r="98" spans="1:13" ht="15" customHeight="1">
      <c r="A98" s="10"/>
      <c r="B98" s="45" t="s">
        <v>168</v>
      </c>
      <c r="C98" s="87">
        <f>φ1*Qw</f>
        <v>21.230000000000004</v>
      </c>
      <c r="D98" s="86" t="s">
        <v>78</v>
      </c>
      <c r="E98" s="23"/>
      <c r="F98" s="23"/>
      <c r="G98" s="23"/>
      <c r="H98" s="23"/>
      <c r="I98" s="37"/>
      <c r="J98" s="79"/>
      <c r="K98" s="79"/>
      <c r="L98" s="23"/>
      <c r="M98" s="54"/>
    </row>
    <row r="99" spans="1:13" ht="15" customHeight="1">
      <c r="A99" s="10"/>
      <c r="B99" s="88" t="s">
        <v>122</v>
      </c>
      <c r="C99" s="87">
        <f>G99*n</f>
        <v>88.282600784313715</v>
      </c>
      <c r="D99" s="86" t="s">
        <v>78</v>
      </c>
      <c r="E99" s="36" t="s">
        <v>124</v>
      </c>
      <c r="F99" s="23" t="s">
        <v>14</v>
      </c>
      <c r="G99" s="89">
        <f>(C97-C98)/(2*n)+(C98*emin)/(n*Ls)</f>
        <v>22.070650196078429</v>
      </c>
      <c r="H99" s="86" t="s">
        <v>78</v>
      </c>
      <c r="I99" s="37"/>
      <c r="J99" s="79"/>
      <c r="K99" s="79"/>
      <c r="L99" s="23"/>
      <c r="M99" s="54"/>
    </row>
    <row r="100" spans="1:13" ht="15" customHeight="1">
      <c r="A100" s="10"/>
      <c r="B100" s="88" t="s">
        <v>123</v>
      </c>
      <c r="C100" s="87">
        <f>G100*n</f>
        <v>107.95739921568628</v>
      </c>
      <c r="D100" s="86" t="s">
        <v>78</v>
      </c>
      <c r="E100" s="36" t="s">
        <v>124</v>
      </c>
      <c r="F100" s="23" t="s">
        <v>15</v>
      </c>
      <c r="G100" s="89">
        <f>(C97-C98)/(2*n)+(C98*(Ls-emin))/(n*Ls)</f>
        <v>26.98934980392157</v>
      </c>
      <c r="H100" s="86" t="s">
        <v>78</v>
      </c>
      <c r="I100" s="37"/>
      <c r="J100" s="79"/>
      <c r="K100" s="79"/>
      <c r="L100" s="23"/>
      <c r="M100" s="54"/>
    </row>
    <row r="101" spans="1:13" ht="15" customHeight="1">
      <c r="A101" s="10"/>
      <c r="B101" s="86" t="s">
        <v>125</v>
      </c>
      <c r="C101" s="45"/>
      <c r="D101" s="45"/>
      <c r="E101" s="23"/>
      <c r="F101" s="23"/>
      <c r="G101" s="23"/>
      <c r="H101" s="23"/>
      <c r="I101" s="37"/>
      <c r="J101" s="79"/>
      <c r="K101" s="79"/>
      <c r="L101" s="23"/>
      <c r="M101" s="54"/>
    </row>
    <row r="102" spans="1:13" ht="15" customHeight="1">
      <c r="A102" s="10"/>
      <c r="B102" s="45" t="s">
        <v>169</v>
      </c>
      <c r="C102" s="87">
        <f>φ4*Qs</f>
        <v>214.08</v>
      </c>
      <c r="D102" s="86" t="s">
        <v>78</v>
      </c>
      <c r="E102" s="23"/>
      <c r="F102" s="23"/>
      <c r="G102" s="23"/>
      <c r="H102" s="23"/>
      <c r="I102" s="37"/>
      <c r="J102" s="79"/>
      <c r="K102" s="79"/>
      <c r="L102" s="23"/>
      <c r="M102" s="54"/>
    </row>
    <row r="103" spans="1:13" ht="15" customHeight="1">
      <c r="A103" s="10"/>
      <c r="B103" s="45" t="s">
        <v>168</v>
      </c>
      <c r="C103" s="87">
        <f>φ4*Qw</f>
        <v>23.16</v>
      </c>
      <c r="D103" s="86" t="s">
        <v>78</v>
      </c>
      <c r="E103" s="23"/>
      <c r="F103" s="23"/>
      <c r="G103" s="23"/>
      <c r="H103" s="23"/>
      <c r="I103" s="37"/>
      <c r="J103" s="79"/>
      <c r="K103" s="79"/>
      <c r="L103" s="23"/>
      <c r="M103" s="54"/>
    </row>
    <row r="104" spans="1:13" ht="15" customHeight="1">
      <c r="A104" s="10"/>
      <c r="B104" s="88" t="s">
        <v>122</v>
      </c>
      <c r="C104" s="87">
        <f>0.5*C102+C103</f>
        <v>130.20000000000002</v>
      </c>
      <c r="D104" s="86" t="s">
        <v>78</v>
      </c>
      <c r="E104" s="36" t="s">
        <v>124</v>
      </c>
      <c r="F104" s="23" t="s">
        <v>14</v>
      </c>
      <c r="G104" s="89">
        <f>(C102-C103)/(2*n)+(C103*emin)/(n*Ls)</f>
        <v>24.077072941176471</v>
      </c>
      <c r="H104" s="86" t="s">
        <v>78</v>
      </c>
      <c r="I104" s="37"/>
      <c r="J104" s="79"/>
      <c r="K104" s="79"/>
      <c r="L104" s="23"/>
      <c r="M104" s="54"/>
    </row>
    <row r="105" spans="1:13" ht="15" customHeight="1">
      <c r="A105" s="10"/>
      <c r="B105" s="88" t="s">
        <v>123</v>
      </c>
      <c r="C105" s="87">
        <f>0.5*C102</f>
        <v>107.04</v>
      </c>
      <c r="D105" s="86" t="s">
        <v>78</v>
      </c>
      <c r="E105" s="36" t="s">
        <v>124</v>
      </c>
      <c r="F105" s="23" t="s">
        <v>15</v>
      </c>
      <c r="G105" s="89">
        <f>(C102-C103)/(2*n)+(C103*(Ls-emin))/(n*Ls)</f>
        <v>29.442927058823532</v>
      </c>
      <c r="H105" s="86" t="s">
        <v>78</v>
      </c>
      <c r="I105" s="37"/>
      <c r="J105" s="79"/>
      <c r="K105" s="79"/>
      <c r="L105" s="23"/>
      <c r="M105" s="54"/>
    </row>
    <row r="106" spans="1:13" ht="15" customHeight="1">
      <c r="A106" s="10"/>
      <c r="B106" s="88"/>
      <c r="C106" s="87"/>
      <c r="D106" s="86"/>
      <c r="E106" s="36"/>
      <c r="F106" s="23"/>
      <c r="G106" s="89"/>
      <c r="H106" s="86"/>
      <c r="I106" s="37"/>
      <c r="J106" s="79"/>
      <c r="K106" s="79"/>
      <c r="L106" s="23"/>
      <c r="M106" s="54"/>
    </row>
    <row r="107" spans="1:13" ht="15" customHeight="1">
      <c r="A107" s="10"/>
      <c r="B107" s="90" t="s">
        <v>160</v>
      </c>
      <c r="C107" s="87"/>
      <c r="D107" s="86"/>
      <c r="E107" s="36"/>
      <c r="F107" s="23"/>
      <c r="G107" s="89"/>
      <c r="H107" s="86"/>
      <c r="I107" s="37"/>
      <c r="J107" s="79"/>
      <c r="K107" s="79"/>
      <c r="L107" s="23"/>
      <c r="M107" s="54"/>
    </row>
    <row r="108" spans="1:13" ht="15" customHeight="1">
      <c r="A108" s="10"/>
      <c r="B108" s="88"/>
      <c r="C108" s="87"/>
      <c r="D108" s="86"/>
      <c r="E108" s="36"/>
      <c r="F108" s="23"/>
      <c r="G108" s="89"/>
      <c r="H108" s="86"/>
      <c r="I108" s="37"/>
      <c r="J108" s="79"/>
      <c r="K108" s="79"/>
      <c r="L108" s="23"/>
      <c r="M108" s="54"/>
    </row>
    <row r="109" spans="1:13" ht="15" customHeight="1">
      <c r="A109" s="10"/>
      <c r="B109" s="88"/>
      <c r="C109" s="87"/>
      <c r="D109" s="86"/>
      <c r="E109" s="36"/>
      <c r="F109" s="23"/>
      <c r="G109" s="89"/>
      <c r="H109" s="86"/>
      <c r="I109" s="37"/>
      <c r="J109" s="79"/>
      <c r="K109" s="79"/>
      <c r="L109" s="23"/>
      <c r="M109" s="54"/>
    </row>
    <row r="110" spans="1:13" ht="15" customHeight="1">
      <c r="A110" s="10"/>
      <c r="B110" s="88"/>
      <c r="C110" s="87"/>
      <c r="D110" s="86"/>
      <c r="E110" s="36"/>
      <c r="F110" s="23"/>
      <c r="G110" s="89"/>
      <c r="H110" s="86"/>
      <c r="I110" s="37"/>
      <c r="J110" s="79"/>
      <c r="K110" s="79"/>
      <c r="L110" s="23"/>
      <c r="M110" s="54"/>
    </row>
    <row r="111" spans="1:13" ht="15" customHeight="1">
      <c r="A111" s="10"/>
      <c r="B111" s="88"/>
      <c r="C111" s="87"/>
      <c r="D111" s="86"/>
      <c r="E111" s="36"/>
      <c r="F111" s="23"/>
      <c r="G111" s="89"/>
      <c r="H111" s="86"/>
      <c r="I111" s="37"/>
      <c r="J111" s="79"/>
      <c r="K111" s="79"/>
      <c r="L111" s="23"/>
      <c r="M111" s="54"/>
    </row>
    <row r="112" spans="1:13" ht="15" customHeight="1">
      <c r="A112" s="10"/>
      <c r="B112" s="88"/>
      <c r="C112" s="87"/>
      <c r="D112" s="86"/>
      <c r="E112" s="36"/>
      <c r="F112" s="23"/>
      <c r="G112" s="89"/>
      <c r="H112" s="86"/>
      <c r="I112" s="37"/>
      <c r="J112" s="79"/>
      <c r="K112" s="79"/>
      <c r="L112" s="23"/>
      <c r="M112" s="54"/>
    </row>
    <row r="113" spans="1:13" ht="15" customHeight="1">
      <c r="A113" s="10"/>
      <c r="B113" s="88"/>
      <c r="C113" s="87"/>
      <c r="D113" s="86"/>
      <c r="E113" s="36"/>
      <c r="F113" s="23"/>
      <c r="G113" s="89"/>
      <c r="H113" s="86"/>
      <c r="I113" s="37"/>
      <c r="J113" s="79"/>
      <c r="K113" s="79"/>
      <c r="L113" s="23"/>
      <c r="M113" s="54"/>
    </row>
    <row r="114" spans="1:13" ht="15" customHeight="1">
      <c r="A114" s="10"/>
      <c r="B114" s="88"/>
      <c r="C114" s="87"/>
      <c r="D114" s="86"/>
      <c r="E114" s="36"/>
      <c r="F114" s="23"/>
      <c r="G114" s="89"/>
      <c r="H114" s="86"/>
      <c r="I114" s="37"/>
      <c r="J114" s="79"/>
      <c r="K114" s="79"/>
      <c r="L114" s="23"/>
      <c r="M114" s="54"/>
    </row>
    <row r="115" spans="1:13" ht="15" customHeight="1">
      <c r="A115" s="10"/>
      <c r="B115" s="88"/>
      <c r="C115" s="87"/>
      <c r="D115" s="86"/>
      <c r="E115" s="36"/>
      <c r="F115" s="23"/>
      <c r="G115" s="89"/>
      <c r="H115" s="86"/>
      <c r="I115" s="37"/>
      <c r="J115" s="79"/>
      <c r="K115" s="79"/>
      <c r="L115" s="23"/>
      <c r="M115" s="54"/>
    </row>
    <row r="116" spans="1:13" ht="15" customHeight="1">
      <c r="A116" s="10"/>
      <c r="B116" s="88"/>
      <c r="C116" s="87"/>
      <c r="D116" s="86"/>
      <c r="E116" s="36"/>
      <c r="F116" s="23"/>
      <c r="G116" s="89"/>
      <c r="H116" s="86"/>
      <c r="I116" s="37"/>
      <c r="J116" s="79"/>
      <c r="K116" s="79"/>
      <c r="L116" s="23"/>
      <c r="M116" s="54"/>
    </row>
    <row r="117" spans="1:13" ht="15" customHeight="1">
      <c r="A117" s="10"/>
      <c r="B117" s="86" t="s">
        <v>126</v>
      </c>
      <c r="C117" s="45"/>
      <c r="D117" s="45"/>
      <c r="E117" s="23"/>
      <c r="F117" s="23"/>
      <c r="G117" s="23"/>
      <c r="H117" s="23"/>
      <c r="I117" s="37"/>
      <c r="J117" s="79"/>
      <c r="K117" s="79"/>
      <c r="L117" s="23"/>
      <c r="M117" s="54"/>
    </row>
    <row r="118" spans="1:13" ht="15" customHeight="1">
      <c r="A118" s="10"/>
      <c r="B118" s="45" t="s">
        <v>169</v>
      </c>
      <c r="C118" s="87">
        <f>φ1*Qs</f>
        <v>196.24</v>
      </c>
      <c r="D118" s="86" t="s">
        <v>78</v>
      </c>
      <c r="E118" s="23"/>
      <c r="F118" s="23"/>
      <c r="G118" s="23"/>
      <c r="H118" s="23"/>
      <c r="I118" s="37"/>
      <c r="J118" s="79"/>
      <c r="K118" s="79"/>
      <c r="L118" s="23"/>
      <c r="M118" s="54"/>
    </row>
    <row r="119" spans="1:13" ht="15" customHeight="1">
      <c r="A119" s="10"/>
      <c r="B119" s="45" t="s">
        <v>168</v>
      </c>
      <c r="C119" s="87">
        <f>φ1*Qw</f>
        <v>21.230000000000004</v>
      </c>
      <c r="D119" s="86" t="s">
        <v>78</v>
      </c>
      <c r="E119" s="23"/>
      <c r="F119" s="23"/>
      <c r="G119" s="23"/>
      <c r="H119" s="23"/>
      <c r="I119" s="37"/>
      <c r="J119" s="79"/>
      <c r="K119" s="79"/>
      <c r="L119" s="23"/>
      <c r="M119" s="54"/>
    </row>
    <row r="120" spans="1:13" ht="15" customHeight="1">
      <c r="A120" s="10"/>
      <c r="B120" s="45" t="s">
        <v>127</v>
      </c>
      <c r="C120" s="87">
        <f>φ2*Qh</f>
        <v>374.4</v>
      </c>
      <c r="D120" s="86" t="s">
        <v>78</v>
      </c>
      <c r="E120" s="23"/>
      <c r="F120" s="23"/>
      <c r="G120" s="23"/>
      <c r="H120" s="23"/>
      <c r="I120" s="37"/>
      <c r="J120" s="79"/>
      <c r="K120" s="79"/>
      <c r="L120" s="23"/>
      <c r="M120" s="54"/>
    </row>
    <row r="121" spans="1:13" ht="15" customHeight="1">
      <c r="A121" s="10"/>
      <c r="B121" s="88" t="s">
        <v>128</v>
      </c>
      <c r="C121" s="87">
        <f>G121*n</f>
        <v>101.99591843137253</v>
      </c>
      <c r="D121" s="86" t="s">
        <v>78</v>
      </c>
      <c r="E121" s="36" t="s">
        <v>124</v>
      </c>
      <c r="F121" s="23" t="s">
        <v>16</v>
      </c>
      <c r="G121" s="89">
        <f>G99+(C120*emin)/(Ls*n)</f>
        <v>25.498979607843133</v>
      </c>
      <c r="H121" s="86" t="s">
        <v>78</v>
      </c>
      <c r="I121" s="37"/>
      <c r="J121" s="79"/>
      <c r="K121" s="79"/>
      <c r="L121" s="23"/>
      <c r="M121" s="54"/>
    </row>
    <row r="122" spans="1:13" ht="15" customHeight="1">
      <c r="A122" s="10"/>
      <c r="B122" s="88" t="s">
        <v>129</v>
      </c>
      <c r="C122" s="87">
        <f>G122*n</f>
        <v>468.64408156862743</v>
      </c>
      <c r="D122" s="86" t="s">
        <v>78</v>
      </c>
      <c r="E122" s="36" t="s">
        <v>124</v>
      </c>
      <c r="F122" s="23" t="s">
        <v>17</v>
      </c>
      <c r="G122" s="89">
        <f>G100+(C120*(Ls-emin))/(Ls*n)</f>
        <v>117.16102039215686</v>
      </c>
      <c r="H122" s="86" t="s">
        <v>78</v>
      </c>
      <c r="I122" s="37"/>
      <c r="J122" s="23"/>
      <c r="K122" s="23"/>
      <c r="L122" s="23"/>
      <c r="M122" s="23"/>
    </row>
    <row r="123" spans="1:13" ht="15" customHeight="1">
      <c r="A123" s="10"/>
      <c r="B123" s="86" t="s">
        <v>130</v>
      </c>
      <c r="C123" s="87"/>
      <c r="D123" s="86"/>
      <c r="E123" s="36"/>
      <c r="F123" s="23"/>
      <c r="G123" s="23"/>
      <c r="H123" s="86"/>
      <c r="I123" s="37"/>
      <c r="J123" s="23"/>
      <c r="K123" s="23"/>
      <c r="L123" s="23"/>
      <c r="M123" s="23"/>
    </row>
    <row r="124" spans="1:13" ht="15" customHeight="1">
      <c r="A124" s="10"/>
      <c r="B124" s="45" t="s">
        <v>169</v>
      </c>
      <c r="C124" s="87">
        <f>φ1*Qs</f>
        <v>196.24</v>
      </c>
      <c r="D124" s="86" t="s">
        <v>78</v>
      </c>
      <c r="E124" s="23"/>
      <c r="F124" s="23"/>
      <c r="G124" s="23"/>
      <c r="H124" s="23"/>
      <c r="I124" s="37"/>
      <c r="J124" s="23"/>
      <c r="K124" s="23"/>
      <c r="L124" s="23"/>
      <c r="M124" s="23"/>
    </row>
    <row r="125" spans="1:13" ht="15" customHeight="1">
      <c r="A125" s="10"/>
      <c r="B125" s="45" t="s">
        <v>168</v>
      </c>
      <c r="C125" s="87">
        <f>φ1*Qw</f>
        <v>21.230000000000004</v>
      </c>
      <c r="D125" s="86" t="s">
        <v>78</v>
      </c>
      <c r="E125" s="23"/>
      <c r="F125" s="23"/>
      <c r="G125" s="23"/>
      <c r="H125" s="23"/>
      <c r="I125" s="37"/>
      <c r="J125" s="23"/>
      <c r="K125" s="23"/>
      <c r="L125" s="23"/>
      <c r="M125" s="23"/>
    </row>
    <row r="126" spans="1:13" ht="15" customHeight="1">
      <c r="A126" s="10"/>
      <c r="B126" s="45" t="s">
        <v>127</v>
      </c>
      <c r="C126" s="87">
        <f>φ3*Qh</f>
        <v>320</v>
      </c>
      <c r="D126" s="86" t="s">
        <v>78</v>
      </c>
      <c r="E126" s="23"/>
      <c r="F126" s="23"/>
      <c r="G126" s="23"/>
      <c r="H126" s="23"/>
      <c r="I126" s="37"/>
      <c r="J126" s="23"/>
      <c r="K126" s="23"/>
      <c r="L126" s="23"/>
      <c r="M126" s="23"/>
    </row>
    <row r="127" spans="1:13" ht="15" customHeight="1">
      <c r="A127" s="10"/>
      <c r="B127" s="88" t="s">
        <v>128</v>
      </c>
      <c r="C127" s="87">
        <f>G127*n</f>
        <v>100.0033850980392</v>
      </c>
      <c r="D127" s="86" t="s">
        <v>78</v>
      </c>
      <c r="E127" s="36" t="s">
        <v>124</v>
      </c>
      <c r="F127" s="23" t="s">
        <v>16</v>
      </c>
      <c r="G127" s="89">
        <f>G99+(C126*emin)/(Ls*n)</f>
        <v>25.000846274509801</v>
      </c>
      <c r="H127" s="86" t="s">
        <v>78</v>
      </c>
      <c r="I127" s="37"/>
      <c r="J127" s="23"/>
      <c r="K127" s="23"/>
      <c r="L127" s="23"/>
      <c r="M127" s="23"/>
    </row>
    <row r="128" spans="1:13" ht="15" customHeight="1">
      <c r="A128" s="10"/>
      <c r="B128" s="88" t="s">
        <v>129</v>
      </c>
      <c r="C128" s="87">
        <f>G128*n</f>
        <v>416.23661490196076</v>
      </c>
      <c r="D128" s="86" t="s">
        <v>78</v>
      </c>
      <c r="E128" s="36" t="s">
        <v>124</v>
      </c>
      <c r="F128" s="23" t="s">
        <v>17</v>
      </c>
      <c r="G128" s="89">
        <f>G100+(C126*(Ls-emin))/(Ls*n)</f>
        <v>104.05915372549019</v>
      </c>
      <c r="H128" s="86" t="s">
        <v>78</v>
      </c>
      <c r="I128" s="37"/>
      <c r="J128" s="23"/>
      <c r="K128" s="23"/>
      <c r="L128" s="23"/>
      <c r="M128" s="23"/>
    </row>
    <row r="129" spans="1:13" ht="15" customHeight="1">
      <c r="A129" s="10"/>
      <c r="B129" s="86" t="s">
        <v>131</v>
      </c>
      <c r="C129" s="87"/>
      <c r="D129" s="86"/>
      <c r="E129" s="36"/>
      <c r="F129" s="23"/>
      <c r="G129" s="23"/>
      <c r="H129" s="86"/>
      <c r="I129" s="37"/>
      <c r="J129" s="23"/>
      <c r="K129" s="23"/>
      <c r="L129" s="23"/>
      <c r="M129" s="23"/>
    </row>
    <row r="130" spans="1:13" ht="15" customHeight="1">
      <c r="A130" s="10"/>
      <c r="B130" s="45" t="s">
        <v>169</v>
      </c>
      <c r="C130" s="87">
        <f>φ4*Qs</f>
        <v>214.08</v>
      </c>
      <c r="D130" s="86" t="s">
        <v>78</v>
      </c>
      <c r="E130" s="23"/>
      <c r="F130" s="23"/>
      <c r="G130" s="23"/>
      <c r="H130" s="23"/>
      <c r="I130" s="37"/>
      <c r="J130" s="23"/>
      <c r="K130" s="23"/>
      <c r="L130" s="23"/>
      <c r="M130" s="23"/>
    </row>
    <row r="131" spans="1:13" ht="15" customHeight="1">
      <c r="A131" s="10"/>
      <c r="B131" s="45" t="s">
        <v>168</v>
      </c>
      <c r="C131" s="87">
        <f>φ4*Qw</f>
        <v>23.16</v>
      </c>
      <c r="D131" s="86" t="s">
        <v>78</v>
      </c>
      <c r="E131" s="23"/>
      <c r="F131" s="23"/>
      <c r="G131" s="23"/>
      <c r="H131" s="23"/>
      <c r="I131" s="37"/>
      <c r="J131" s="23"/>
      <c r="K131" s="23"/>
      <c r="L131" s="23"/>
      <c r="M131" s="23"/>
    </row>
    <row r="132" spans="1:13" ht="15" customHeight="1">
      <c r="A132" s="10"/>
      <c r="B132" s="45" t="s">
        <v>127</v>
      </c>
      <c r="C132" s="87">
        <f>φ4*Qh</f>
        <v>384</v>
      </c>
      <c r="D132" s="86" t="s">
        <v>78</v>
      </c>
      <c r="E132" s="23"/>
      <c r="F132" s="23"/>
      <c r="G132" s="23"/>
      <c r="H132" s="23"/>
      <c r="I132" s="37"/>
      <c r="J132" s="23"/>
      <c r="K132" s="23"/>
      <c r="L132" s="23"/>
      <c r="M132" s="23"/>
    </row>
    <row r="133" spans="1:13" ht="15" customHeight="1">
      <c r="A133" s="10"/>
      <c r="B133" s="88" t="s">
        <v>128</v>
      </c>
      <c r="C133" s="87">
        <f>G133*n</f>
        <v>110.37323294117648</v>
      </c>
      <c r="D133" s="86" t="s">
        <v>78</v>
      </c>
      <c r="E133" s="36" t="s">
        <v>124</v>
      </c>
      <c r="F133" s="23" t="s">
        <v>16</v>
      </c>
      <c r="G133" s="89">
        <f>(C130-C131)/(2*n)+((C131+C132)*(emin))/(n*Ls)</f>
        <v>27.593308235294121</v>
      </c>
      <c r="H133" s="86" t="s">
        <v>78</v>
      </c>
      <c r="I133" s="37"/>
      <c r="J133" s="23"/>
      <c r="K133" s="23"/>
      <c r="L133" s="23"/>
      <c r="M133" s="23"/>
    </row>
    <row r="134" spans="1:13" ht="15" customHeight="1">
      <c r="A134" s="10"/>
      <c r="B134" s="88" t="s">
        <v>129</v>
      </c>
      <c r="C134" s="87">
        <f>G134*n</f>
        <v>487.70676705882352</v>
      </c>
      <c r="D134" s="86" t="s">
        <v>78</v>
      </c>
      <c r="E134" s="36" t="s">
        <v>124</v>
      </c>
      <c r="F134" s="23" t="s">
        <v>17</v>
      </c>
      <c r="G134" s="89">
        <f>(C130-C131)/(2*n)+((C131+C132)*(Ls-emin))/(n*Ls)</f>
        <v>121.92669176470588</v>
      </c>
      <c r="H134" s="86" t="s">
        <v>78</v>
      </c>
      <c r="I134" s="37"/>
      <c r="J134" s="23"/>
      <c r="K134" s="23"/>
      <c r="L134" s="23"/>
      <c r="M134" s="23"/>
    </row>
    <row r="135" spans="1:13" ht="15" customHeight="1">
      <c r="A135" s="10"/>
      <c r="B135" s="88"/>
      <c r="C135" s="87"/>
      <c r="D135" s="86"/>
      <c r="E135" s="36"/>
      <c r="F135" s="23"/>
      <c r="G135" s="89"/>
      <c r="H135" s="86"/>
      <c r="I135" s="37"/>
      <c r="J135" s="23"/>
      <c r="K135" s="23"/>
      <c r="L135" s="23"/>
      <c r="M135" s="23"/>
    </row>
    <row r="136" spans="1:13" ht="15" customHeight="1">
      <c r="A136" s="10"/>
      <c r="B136" s="88"/>
      <c r="C136" s="87"/>
      <c r="D136" s="86"/>
      <c r="E136" s="36"/>
      <c r="F136" s="23"/>
      <c r="G136" s="89"/>
      <c r="H136" s="86"/>
      <c r="I136" s="37"/>
      <c r="J136" s="23"/>
      <c r="K136" s="23"/>
      <c r="L136" s="23"/>
      <c r="M136" s="23"/>
    </row>
    <row r="137" spans="1:13" ht="15" customHeight="1">
      <c r="A137" s="10"/>
      <c r="B137" s="88"/>
      <c r="C137" s="87"/>
      <c r="D137" s="86"/>
      <c r="E137" s="36"/>
      <c r="F137" s="23"/>
      <c r="G137" s="89"/>
      <c r="H137" s="86"/>
      <c r="I137" s="37"/>
      <c r="J137" s="23"/>
      <c r="K137" s="23"/>
      <c r="L137" s="23"/>
      <c r="M137" s="23"/>
    </row>
    <row r="138" spans="1:13" ht="15" customHeight="1">
      <c r="A138" s="10"/>
      <c r="B138" s="88"/>
      <c r="C138" s="87"/>
      <c r="D138" s="86"/>
      <c r="E138" s="36"/>
      <c r="F138" s="23"/>
      <c r="G138" s="89"/>
      <c r="H138" s="86"/>
      <c r="I138" s="37"/>
      <c r="J138" s="23"/>
      <c r="K138" s="23"/>
      <c r="L138" s="23"/>
      <c r="M138" s="23"/>
    </row>
    <row r="139" spans="1:13" ht="15" customHeight="1">
      <c r="A139" s="10"/>
      <c r="B139" s="23"/>
      <c r="C139" s="23"/>
      <c r="D139" s="23"/>
      <c r="E139" s="23"/>
      <c r="F139" s="23"/>
      <c r="G139" s="23"/>
      <c r="H139" s="23"/>
      <c r="I139" s="37"/>
      <c r="J139" s="23"/>
      <c r="K139" s="23"/>
      <c r="L139" s="23"/>
      <c r="M139" s="23"/>
    </row>
    <row r="140" spans="1:13" ht="15" customHeight="1">
      <c r="A140" s="10"/>
      <c r="B140" s="62" t="s">
        <v>84</v>
      </c>
      <c r="C140" s="92"/>
      <c r="D140" s="93"/>
      <c r="E140" s="73"/>
      <c r="F140" s="44"/>
      <c r="G140" s="94"/>
      <c r="H140" s="95"/>
      <c r="I140" s="73"/>
      <c r="J140" s="73"/>
      <c r="K140" s="73"/>
      <c r="L140" s="10"/>
      <c r="M140" s="36"/>
    </row>
    <row r="141" spans="1:13" ht="15" customHeight="1">
      <c r="A141" s="10"/>
      <c r="B141" s="90" t="s">
        <v>133</v>
      </c>
      <c r="C141" s="92"/>
      <c r="D141" s="93"/>
      <c r="E141" s="73"/>
      <c r="F141" s="44"/>
      <c r="G141" s="94"/>
      <c r="H141" s="95"/>
      <c r="I141" s="73"/>
      <c r="J141" s="73"/>
      <c r="K141" s="73"/>
      <c r="L141" s="10"/>
      <c r="M141" s="36"/>
    </row>
    <row r="142" spans="1:13" ht="15" customHeight="1">
      <c r="A142" s="10"/>
      <c r="B142" s="90"/>
      <c r="C142" s="92"/>
      <c r="D142" s="93"/>
      <c r="E142" s="10"/>
      <c r="F142" s="10"/>
      <c r="H142" s="7" t="s">
        <v>132</v>
      </c>
      <c r="I142" s="7" t="s">
        <v>11</v>
      </c>
      <c r="J142" s="63">
        <v>4</v>
      </c>
      <c r="K142" s="79"/>
      <c r="L142" s="2"/>
      <c r="M142" s="10"/>
    </row>
    <row r="143" spans="1:13" ht="15" customHeight="1">
      <c r="A143" s="10"/>
      <c r="B143" s="90"/>
      <c r="C143" s="92"/>
      <c r="D143" s="93"/>
      <c r="E143" s="14"/>
      <c r="F143" s="2"/>
      <c r="G143" s="2"/>
      <c r="I143" s="4" t="s">
        <v>49</v>
      </c>
      <c r="J143" s="29">
        <f>J142*G100</f>
        <v>107.95739921568628</v>
      </c>
      <c r="K143" s="2" t="s">
        <v>78</v>
      </c>
      <c r="L143" s="54" t="s">
        <v>97</v>
      </c>
    </row>
    <row r="144" spans="1:13" ht="15" customHeight="1">
      <c r="A144" s="10"/>
      <c r="B144" s="90"/>
      <c r="C144" s="92"/>
      <c r="D144" s="93"/>
      <c r="E144" s="14"/>
      <c r="F144" s="2"/>
      <c r="G144" s="4" t="s">
        <v>19</v>
      </c>
      <c r="I144" s="7" t="s">
        <v>57</v>
      </c>
      <c r="J144" s="63">
        <v>0.2</v>
      </c>
      <c r="K144" s="2"/>
      <c r="L144" s="54" t="s">
        <v>96</v>
      </c>
    </row>
    <row r="145" spans="1:13" ht="15" customHeight="1">
      <c r="A145" s="10"/>
      <c r="B145" s="90"/>
      <c r="C145" s="92"/>
      <c r="D145" s="93"/>
      <c r="E145" s="14"/>
      <c r="F145" s="2"/>
      <c r="G145" s="2"/>
      <c r="H145" s="10"/>
      <c r="I145" s="4" t="s">
        <v>58</v>
      </c>
      <c r="J145" s="25">
        <f>J144*J143</f>
        <v>21.591479843137257</v>
      </c>
      <c r="K145" s="2" t="s">
        <v>78</v>
      </c>
      <c r="L145" s="10"/>
    </row>
    <row r="146" spans="1:13" ht="15" customHeight="1">
      <c r="A146" s="10"/>
      <c r="B146" s="90"/>
      <c r="C146" s="92"/>
      <c r="D146" s="93"/>
      <c r="E146" s="14"/>
      <c r="F146" s="2"/>
      <c r="G146" s="7" t="s">
        <v>51</v>
      </c>
      <c r="H146" s="10"/>
      <c r="I146" s="7" t="s">
        <v>10</v>
      </c>
      <c r="J146" s="63">
        <v>2</v>
      </c>
      <c r="L146" s="10"/>
    </row>
    <row r="147" spans="1:13" ht="15" customHeight="1">
      <c r="A147" s="10"/>
      <c r="B147" s="90"/>
      <c r="C147" s="92"/>
      <c r="D147" s="93"/>
      <c r="E147" s="14"/>
      <c r="F147" s="2"/>
      <c r="G147" s="7"/>
      <c r="H147" s="10"/>
      <c r="I147" s="7"/>
      <c r="J147" s="10"/>
      <c r="L147" s="54" t="s">
        <v>98</v>
      </c>
    </row>
    <row r="148" spans="1:13" ht="15" customHeight="1">
      <c r="A148" s="10"/>
      <c r="B148" s="90"/>
      <c r="C148" s="92"/>
      <c r="D148" s="93"/>
      <c r="E148" s="14"/>
      <c r="F148" s="2"/>
      <c r="G148" s="7" t="s">
        <v>54</v>
      </c>
      <c r="H148" s="10"/>
      <c r="I148" s="4" t="s">
        <v>50</v>
      </c>
      <c r="J148" s="66">
        <f>ROUND(φ5*(J145/J146),2)</f>
        <v>16.190000000000001</v>
      </c>
      <c r="K148" s="2" t="s">
        <v>78</v>
      </c>
      <c r="L148" s="54"/>
    </row>
    <row r="149" spans="1:13" ht="15" customHeight="1">
      <c r="A149" s="10"/>
      <c r="B149" s="90"/>
      <c r="C149" s="92"/>
      <c r="D149" s="93"/>
      <c r="E149" s="14"/>
      <c r="F149" s="2"/>
      <c r="G149" s="7"/>
      <c r="H149" s="10"/>
      <c r="I149" s="7"/>
      <c r="J149" s="10"/>
      <c r="L149" s="54"/>
    </row>
    <row r="150" spans="1:13" ht="15" customHeight="1">
      <c r="A150" s="10"/>
      <c r="B150" s="90" t="s">
        <v>134</v>
      </c>
      <c r="C150" s="92"/>
      <c r="D150" s="93"/>
      <c r="E150" s="14"/>
      <c r="F150" s="2"/>
      <c r="L150" s="10"/>
    </row>
    <row r="151" spans="1:13" ht="15" customHeight="1">
      <c r="A151" s="10"/>
      <c r="B151" s="90"/>
      <c r="C151" s="92"/>
      <c r="D151" s="93"/>
      <c r="E151" s="73"/>
      <c r="F151" s="44"/>
      <c r="G151" s="94"/>
      <c r="H151" s="95"/>
      <c r="I151" s="73"/>
      <c r="J151" s="73"/>
      <c r="K151" s="10"/>
      <c r="L151" s="36"/>
    </row>
    <row r="152" spans="1:13" ht="15" customHeight="1">
      <c r="A152" s="10"/>
      <c r="B152" s="90"/>
      <c r="C152" s="92"/>
      <c r="D152" s="93"/>
      <c r="E152" s="73"/>
      <c r="F152" s="2"/>
      <c r="G152" s="7"/>
      <c r="H152" s="10"/>
      <c r="I152" s="4"/>
      <c r="J152" s="11"/>
      <c r="K152" s="2"/>
      <c r="L152" s="10"/>
    </row>
    <row r="153" spans="1:13" ht="15" customHeight="1">
      <c r="A153" s="10"/>
      <c r="B153" s="90"/>
      <c r="C153" s="92"/>
      <c r="D153" s="93"/>
      <c r="E153" s="73"/>
      <c r="F153" s="2"/>
      <c r="G153" s="2"/>
      <c r="H153" s="10"/>
      <c r="I153" s="4" t="s">
        <v>20</v>
      </c>
      <c r="J153" s="29">
        <f>C134+C133</f>
        <v>598.08000000000004</v>
      </c>
      <c r="K153" s="2" t="s">
        <v>78</v>
      </c>
      <c r="L153" s="30" t="s">
        <v>52</v>
      </c>
    </row>
    <row r="154" spans="1:13" ht="15" customHeight="1">
      <c r="A154" s="10"/>
      <c r="C154" s="92"/>
      <c r="D154" s="93"/>
      <c r="E154" s="73"/>
      <c r="F154" s="2"/>
      <c r="G154" s="2"/>
      <c r="H154" s="10"/>
      <c r="I154" s="31" t="s">
        <v>59</v>
      </c>
      <c r="J154" s="6">
        <f>ROUND(C134/J153,2)</f>
        <v>0.82</v>
      </c>
      <c r="K154" s="2"/>
      <c r="L154" s="10"/>
    </row>
    <row r="155" spans="1:13" ht="15" customHeight="1">
      <c r="A155" s="10"/>
      <c r="C155" s="92"/>
      <c r="D155" s="93"/>
      <c r="E155" s="73"/>
      <c r="F155" s="2"/>
      <c r="G155" s="2"/>
      <c r="H155" s="10"/>
      <c r="I155" s="31" t="s">
        <v>60</v>
      </c>
      <c r="J155" s="6">
        <f>1-J154</f>
        <v>0.18000000000000005</v>
      </c>
      <c r="K155" s="2"/>
      <c r="L155" s="10"/>
    </row>
    <row r="156" spans="1:13" ht="15" customHeight="1">
      <c r="A156" s="10"/>
      <c r="B156" s="90"/>
      <c r="C156" s="92"/>
      <c r="D156" s="93"/>
      <c r="E156" s="73"/>
      <c r="F156" s="2"/>
      <c r="G156" s="2"/>
      <c r="H156" s="10"/>
      <c r="I156" s="4" t="s">
        <v>65</v>
      </c>
      <c r="J156" s="29">
        <f>(J154-0.5)*Ls</f>
        <v>8.1599999999999984</v>
      </c>
      <c r="K156" s="2" t="s">
        <v>77</v>
      </c>
      <c r="L156" s="155" t="s">
        <v>99</v>
      </c>
      <c r="M156" s="155"/>
    </row>
    <row r="157" spans="1:13" ht="15" customHeight="1">
      <c r="A157" s="10"/>
      <c r="B157" s="90"/>
      <c r="C157" s="92"/>
      <c r="D157" s="93"/>
      <c r="E157" s="73"/>
      <c r="F157" s="2"/>
      <c r="G157" s="2"/>
      <c r="H157" s="10"/>
      <c r="I157" s="4" t="s">
        <v>22</v>
      </c>
      <c r="J157" s="29">
        <f>J156*J145</f>
        <v>176.18647551999999</v>
      </c>
      <c r="K157" s="2" t="s">
        <v>85</v>
      </c>
      <c r="L157" s="54" t="s">
        <v>21</v>
      </c>
    </row>
    <row r="158" spans="1:13" ht="15" customHeight="1">
      <c r="A158" s="10"/>
      <c r="B158" s="90"/>
      <c r="C158" s="92"/>
      <c r="D158" s="93"/>
      <c r="E158" s="73"/>
      <c r="F158" s="2"/>
      <c r="G158" s="2"/>
      <c r="H158" s="10"/>
      <c r="I158" s="4"/>
      <c r="J158" s="11"/>
      <c r="K158" s="2"/>
      <c r="L158" s="10"/>
    </row>
    <row r="159" spans="1:13" ht="15" customHeight="1">
      <c r="A159" s="10"/>
      <c r="B159" s="91"/>
      <c r="C159" s="92"/>
      <c r="D159" s="93"/>
      <c r="E159" s="73"/>
      <c r="F159" s="2"/>
      <c r="G159" s="2"/>
      <c r="H159" s="10"/>
      <c r="I159" s="4" t="s">
        <v>61</v>
      </c>
      <c r="J159" s="66">
        <f>ROUND(φ5*J155*(J157/(4*R_)),2)</f>
        <v>8.74</v>
      </c>
      <c r="K159" s="2" t="s">
        <v>78</v>
      </c>
      <c r="L159" s="10"/>
    </row>
    <row r="160" spans="1:13" ht="15" customHeight="1">
      <c r="A160" s="10"/>
      <c r="B160" s="91"/>
      <c r="C160" s="92"/>
      <c r="D160" s="93"/>
      <c r="E160" s="73"/>
      <c r="F160" s="2"/>
      <c r="G160" s="7"/>
      <c r="H160" s="10"/>
      <c r="I160" s="4" t="s">
        <v>62</v>
      </c>
      <c r="J160" s="66">
        <f>ROUND(φ5*J154*(J157/(4*R_)),2)</f>
        <v>39.840000000000003</v>
      </c>
      <c r="K160" s="2" t="s">
        <v>78</v>
      </c>
      <c r="L160" s="10"/>
    </row>
    <row r="161" spans="1:13" ht="15" customHeight="1">
      <c r="A161" s="10"/>
      <c r="B161" s="91"/>
      <c r="C161" s="92"/>
      <c r="D161" s="93"/>
      <c r="E161" s="73"/>
      <c r="F161" s="2"/>
      <c r="G161" s="2"/>
      <c r="H161" s="10"/>
      <c r="I161" s="4"/>
      <c r="J161" s="11"/>
      <c r="K161" s="2"/>
      <c r="L161" s="10"/>
    </row>
    <row r="162" spans="1:13" ht="15" customHeight="1">
      <c r="A162" s="10"/>
      <c r="B162" s="91"/>
      <c r="C162" s="92"/>
      <c r="D162" s="93"/>
      <c r="E162" s="73"/>
      <c r="G162" s="2"/>
      <c r="H162" s="7" t="s">
        <v>53</v>
      </c>
      <c r="I162" s="7" t="s">
        <v>63</v>
      </c>
      <c r="J162" s="63">
        <v>7.0000000000000001E-3</v>
      </c>
      <c r="K162" s="2" t="s">
        <v>86</v>
      </c>
      <c r="L162" s="10"/>
    </row>
    <row r="163" spans="1:13" ht="15.75" customHeight="1">
      <c r="A163" s="10"/>
      <c r="B163" s="91"/>
      <c r="C163" s="92"/>
      <c r="D163" s="93"/>
      <c r="E163" s="73"/>
      <c r="F163" s="2"/>
      <c r="H163" s="18"/>
      <c r="I163" s="32"/>
      <c r="J163" s="33"/>
      <c r="K163" s="33"/>
    </row>
    <row r="164" spans="1:13" ht="15" customHeight="1">
      <c r="B164" s="100" t="s">
        <v>161</v>
      </c>
      <c r="C164" s="10"/>
      <c r="D164" s="4"/>
      <c r="E164" s="14"/>
      <c r="F164" s="2"/>
      <c r="H164" s="18"/>
      <c r="I164" s="32"/>
      <c r="J164" s="33"/>
      <c r="K164" s="33"/>
    </row>
    <row r="165" spans="1:13" ht="15" customHeight="1">
      <c r="A165" s="8"/>
      <c r="B165" s="15"/>
      <c r="C165" s="10"/>
      <c r="D165" s="4"/>
      <c r="E165" s="14"/>
      <c r="F165" s="2"/>
      <c r="G165" s="7" t="s">
        <v>64</v>
      </c>
      <c r="H165" s="18">
        <f>0.3*(1-EXP(-250*J162))</f>
        <v>0.24786781696486643</v>
      </c>
      <c r="I165" s="32" t="s">
        <v>66</v>
      </c>
      <c r="J165" s="33">
        <v>0.3</v>
      </c>
      <c r="K165" s="33"/>
    </row>
    <row r="166" spans="1:13" ht="15" customHeight="1">
      <c r="A166" s="8"/>
      <c r="B166" s="15"/>
      <c r="C166" s="10"/>
      <c r="D166" s="4"/>
      <c r="E166" s="14"/>
      <c r="F166" s="136" t="s">
        <v>188</v>
      </c>
      <c r="G166" s="136"/>
      <c r="H166" s="136"/>
      <c r="I166" s="136"/>
      <c r="J166" s="33"/>
      <c r="K166" s="33"/>
      <c r="M166" s="133" t="s">
        <v>189</v>
      </c>
    </row>
    <row r="167" spans="1:13" ht="15" customHeight="1">
      <c r="A167" s="8"/>
      <c r="B167" s="15"/>
      <c r="C167" s="10"/>
      <c r="D167" s="4"/>
      <c r="E167" s="14"/>
      <c r="F167" s="2"/>
      <c r="G167" s="7"/>
      <c r="H167" s="18"/>
      <c r="I167" s="4" t="s">
        <v>185</v>
      </c>
      <c r="J167" s="63">
        <v>0</v>
      </c>
      <c r="K167" s="54" t="s">
        <v>186</v>
      </c>
      <c r="M167" s="133" t="s">
        <v>187</v>
      </c>
    </row>
    <row r="168" spans="1:13" ht="15" customHeight="1">
      <c r="A168" s="8"/>
      <c r="B168" s="15"/>
      <c r="C168" s="10"/>
      <c r="D168" s="4"/>
      <c r="E168" s="14"/>
      <c r="F168" s="2"/>
      <c r="G168" s="7"/>
      <c r="H168" s="18"/>
      <c r="I168" s="4" t="s">
        <v>184</v>
      </c>
      <c r="J168" s="33">
        <f>(J167*J154*J155*Ls^2+(R_*(n-1))^2)/(R_*(n-1))</f>
        <v>4.08</v>
      </c>
      <c r="K168" s="33"/>
    </row>
    <row r="169" spans="1:13" ht="15" customHeight="1">
      <c r="A169" s="10"/>
      <c r="B169" s="15"/>
      <c r="C169" s="10"/>
      <c r="D169" s="4"/>
      <c r="E169" s="14"/>
      <c r="F169" s="2"/>
      <c r="G169" s="2"/>
      <c r="H169" s="10"/>
      <c r="I169" s="4" t="s">
        <v>28</v>
      </c>
      <c r="J169" s="63">
        <v>0</v>
      </c>
      <c r="K169" s="2" t="s">
        <v>77</v>
      </c>
      <c r="L169" s="54" t="s">
        <v>135</v>
      </c>
    </row>
    <row r="170" spans="1:13" ht="15" customHeight="1">
      <c r="A170" s="10"/>
      <c r="B170" s="15"/>
      <c r="C170" s="10"/>
      <c r="D170" s="4"/>
      <c r="E170" s="14"/>
      <c r="F170" s="2"/>
      <c r="G170" s="2"/>
      <c r="H170" s="10"/>
      <c r="I170" s="4" t="s">
        <v>191</v>
      </c>
      <c r="J170" s="134">
        <f>R_</f>
        <v>1.36</v>
      </c>
      <c r="K170" s="2" t="s">
        <v>77</v>
      </c>
      <c r="L170" s="54"/>
    </row>
    <row r="171" spans="1:13" ht="15" customHeight="1">
      <c r="A171" s="10"/>
      <c r="B171" s="15"/>
      <c r="C171" s="10"/>
      <c r="D171" s="4"/>
      <c r="E171" s="14"/>
      <c r="F171" s="2"/>
      <c r="G171" s="2"/>
      <c r="H171" s="10"/>
      <c r="I171" s="4" t="s">
        <v>190</v>
      </c>
      <c r="J171" s="135">
        <f>J170+R_</f>
        <v>2.72</v>
      </c>
      <c r="K171" t="s">
        <v>77</v>
      </c>
      <c r="L171" s="10"/>
    </row>
    <row r="172" spans="1:13" ht="15" customHeight="1">
      <c r="A172" s="10"/>
      <c r="B172" s="15"/>
      <c r="C172" s="10"/>
      <c r="D172" s="4"/>
      <c r="E172" s="14"/>
      <c r="F172" s="2"/>
      <c r="G172" s="2"/>
      <c r="H172" s="10"/>
      <c r="I172" s="4" t="s">
        <v>198</v>
      </c>
      <c r="J172" s="135">
        <f>J171+R_</f>
        <v>4.08</v>
      </c>
      <c r="K172" t="s">
        <v>77</v>
      </c>
      <c r="L172" s="10"/>
    </row>
    <row r="173" spans="1:13" ht="15" customHeight="1">
      <c r="A173" s="10"/>
      <c r="B173" s="15"/>
      <c r="C173" s="10"/>
      <c r="D173" s="4"/>
      <c r="E173" s="14"/>
      <c r="F173" s="2"/>
      <c r="G173" s="2"/>
      <c r="H173" s="10"/>
      <c r="I173" s="7" t="s">
        <v>192</v>
      </c>
      <c r="J173" s="13">
        <f>1-((J169+J170+J171+J172)/(n*J168))</f>
        <v>0.5</v>
      </c>
      <c r="K173" s="2"/>
      <c r="L173" s="10"/>
    </row>
    <row r="174" spans="1:13" ht="15" customHeight="1">
      <c r="A174" s="10"/>
      <c r="B174" s="15"/>
      <c r="C174" s="10"/>
      <c r="D174" s="4"/>
      <c r="E174" s="14"/>
      <c r="F174" s="2"/>
      <c r="G174" s="2"/>
      <c r="H174" s="10"/>
      <c r="I174" s="7" t="s">
        <v>195</v>
      </c>
      <c r="J174" s="13">
        <v>0</v>
      </c>
      <c r="K174" s="2"/>
      <c r="L174" s="10"/>
    </row>
    <row r="175" spans="1:13" ht="15" customHeight="1">
      <c r="A175" s="10"/>
      <c r="B175" s="15"/>
      <c r="C175" s="10"/>
      <c r="D175" s="4"/>
      <c r="E175" s="14"/>
      <c r="F175" s="2"/>
      <c r="G175" s="2"/>
      <c r="H175" s="10" t="s">
        <v>136</v>
      </c>
      <c r="I175" s="7"/>
      <c r="J175" s="13"/>
      <c r="K175" s="2"/>
      <c r="L175" s="10"/>
    </row>
    <row r="176" spans="1:13" ht="15" customHeight="1">
      <c r="A176" s="10"/>
      <c r="B176" s="15"/>
      <c r="C176" s="10"/>
      <c r="D176" s="4"/>
      <c r="E176" s="14"/>
      <c r="F176" s="2"/>
      <c r="G176" s="2"/>
      <c r="H176" s="10"/>
      <c r="I176" s="7" t="s">
        <v>193</v>
      </c>
      <c r="J176" s="13">
        <f>(J155/n)*(1-J169/J168)</f>
        <v>4.5000000000000012E-2</v>
      </c>
      <c r="K176" s="2"/>
      <c r="L176" s="10"/>
    </row>
    <row r="177" spans="1:13" ht="15" customHeight="1">
      <c r="A177" s="10"/>
      <c r="B177" s="15"/>
      <c r="C177" s="10"/>
      <c r="D177" s="4"/>
      <c r="E177" s="14"/>
      <c r="F177" s="2"/>
      <c r="G177" s="2"/>
      <c r="H177" s="10"/>
      <c r="I177" s="7" t="s">
        <v>194</v>
      </c>
      <c r="J177" s="13">
        <f>(J154/n)*(1-J169/J168)</f>
        <v>0.20499999999999999</v>
      </c>
      <c r="K177" s="2"/>
      <c r="L177" s="10"/>
    </row>
    <row r="178" spans="1:13" ht="15" customHeight="1">
      <c r="A178" s="10"/>
      <c r="B178" s="15"/>
      <c r="C178" s="10"/>
      <c r="D178" s="4"/>
      <c r="E178" s="14"/>
      <c r="F178" s="2"/>
      <c r="G178" s="2"/>
      <c r="H178" s="10" t="s">
        <v>137</v>
      </c>
      <c r="I178" s="7"/>
      <c r="J178" s="13"/>
      <c r="K178" s="2"/>
      <c r="L178" s="10"/>
    </row>
    <row r="179" spans="1:13" ht="15" customHeight="1">
      <c r="A179" s="10"/>
      <c r="B179" s="15"/>
      <c r="C179" s="10"/>
      <c r="D179" s="4"/>
      <c r="E179" s="14"/>
      <c r="F179" s="2"/>
      <c r="G179" s="2"/>
      <c r="H179" s="10"/>
      <c r="I179" s="7" t="s">
        <v>199</v>
      </c>
      <c r="J179" s="13">
        <f>(J155/n)*(1-J170/J168)</f>
        <v>3.0000000000000006E-2</v>
      </c>
      <c r="K179" s="2"/>
      <c r="L179" s="10"/>
    </row>
    <row r="180" spans="1:13" ht="15" customHeight="1">
      <c r="A180" s="10"/>
      <c r="B180" s="15"/>
      <c r="C180" s="10"/>
      <c r="D180" s="4"/>
      <c r="E180" s="14"/>
      <c r="F180" s="2"/>
      <c r="G180" s="2"/>
      <c r="H180" s="10"/>
      <c r="I180" s="7" t="s">
        <v>200</v>
      </c>
      <c r="J180" s="13">
        <f>(J154/n)*(1-J170/J168)</f>
        <v>0.13666666666666666</v>
      </c>
      <c r="K180" s="2"/>
      <c r="L180" s="10"/>
    </row>
    <row r="181" spans="1:13" ht="15" customHeight="1">
      <c r="A181" s="10"/>
      <c r="B181" s="15"/>
      <c r="C181" s="10"/>
      <c r="D181" s="4"/>
      <c r="E181" s="14"/>
      <c r="F181" s="2"/>
      <c r="G181" s="2"/>
      <c r="H181" s="10" t="s">
        <v>196</v>
      </c>
      <c r="I181" s="7"/>
      <c r="J181" s="13"/>
      <c r="K181" s="2"/>
      <c r="L181" s="10"/>
    </row>
    <row r="182" spans="1:13" ht="15" customHeight="1">
      <c r="A182" s="10"/>
      <c r="B182" s="15"/>
      <c r="C182" s="10"/>
      <c r="D182" s="4"/>
      <c r="E182" s="14"/>
      <c r="F182" s="2"/>
      <c r="G182" s="2"/>
      <c r="H182" s="10"/>
      <c r="I182" s="7" t="s">
        <v>201</v>
      </c>
      <c r="J182" s="13">
        <f>(J155/n)*(1-J171/J168)</f>
        <v>1.5000000000000001E-2</v>
      </c>
      <c r="K182" s="2"/>
      <c r="L182" s="10"/>
    </row>
    <row r="183" spans="1:13" ht="15" customHeight="1">
      <c r="A183" s="10"/>
      <c r="B183" s="15"/>
      <c r="C183" s="10"/>
      <c r="D183" s="4"/>
      <c r="E183" s="14"/>
      <c r="F183" s="2"/>
      <c r="G183" s="2"/>
      <c r="H183" s="10"/>
      <c r="I183" s="7" t="s">
        <v>202</v>
      </c>
      <c r="J183" s="12">
        <f>(J154/n)*(1-J172/J168)</f>
        <v>0</v>
      </c>
      <c r="K183" s="2"/>
      <c r="L183" s="10"/>
    </row>
    <row r="184" spans="1:13" ht="15" customHeight="1">
      <c r="A184" s="10"/>
      <c r="B184" s="15"/>
      <c r="C184" s="10"/>
      <c r="D184" s="4"/>
      <c r="E184" s="14"/>
      <c r="F184" s="2"/>
      <c r="G184" s="2"/>
      <c r="H184" s="10" t="s">
        <v>197</v>
      </c>
      <c r="I184" s="7"/>
      <c r="J184" s="13"/>
      <c r="K184" s="2"/>
      <c r="L184" s="10"/>
    </row>
    <row r="185" spans="1:13" ht="15" customHeight="1">
      <c r="A185" s="10"/>
      <c r="B185" s="15"/>
      <c r="C185" s="10"/>
      <c r="D185" s="4"/>
      <c r="E185" s="14"/>
      <c r="F185" s="2"/>
      <c r="G185" s="2"/>
      <c r="H185" s="10"/>
      <c r="I185" s="7" t="s">
        <v>203</v>
      </c>
      <c r="J185" s="13">
        <f>(J155/n)*(1-J172/J168)</f>
        <v>0</v>
      </c>
      <c r="K185" s="2"/>
      <c r="L185" s="10"/>
    </row>
    <row r="186" spans="1:13" ht="15" customHeight="1">
      <c r="A186" s="10"/>
      <c r="B186" s="15"/>
      <c r="C186" s="10"/>
      <c r="D186" s="4"/>
      <c r="E186" s="14"/>
      <c r="F186" s="2"/>
      <c r="G186" s="2"/>
      <c r="H186" s="10"/>
      <c r="I186" s="7" t="s">
        <v>204</v>
      </c>
      <c r="J186" s="13">
        <f>(J154/n)*(1-J172/J168)</f>
        <v>0</v>
      </c>
      <c r="K186" s="2"/>
      <c r="L186" s="10"/>
    </row>
    <row r="187" spans="1:13" ht="15" customHeight="1">
      <c r="A187" s="10"/>
      <c r="B187" s="8" t="s">
        <v>162</v>
      </c>
      <c r="C187" s="92"/>
      <c r="D187" s="93"/>
      <c r="E187" s="73"/>
      <c r="F187" s="44"/>
      <c r="G187" s="94"/>
      <c r="K187" s="2"/>
      <c r="L187" s="10"/>
    </row>
    <row r="188" spans="1:13" ht="15" customHeight="1">
      <c r="A188" s="10"/>
      <c r="B188" s="7" t="s">
        <v>138</v>
      </c>
      <c r="C188" s="66">
        <f>H165*J174*J153</f>
        <v>0</v>
      </c>
      <c r="D188" s="2" t="s">
        <v>3</v>
      </c>
      <c r="E188" s="14"/>
      <c r="F188" s="2"/>
      <c r="G188" s="4"/>
      <c r="H188" s="95"/>
      <c r="I188" s="73"/>
      <c r="J188" s="73"/>
      <c r="K188" s="73"/>
      <c r="L188" s="10"/>
      <c r="M188" s="36"/>
    </row>
    <row r="189" spans="1:13" ht="15" customHeight="1">
      <c r="A189" s="10"/>
      <c r="B189" s="7" t="s">
        <v>139</v>
      </c>
      <c r="C189" s="66">
        <f>H165*J174*J153</f>
        <v>0</v>
      </c>
      <c r="D189" s="2" t="s">
        <v>3</v>
      </c>
      <c r="E189" s="14"/>
      <c r="F189" s="2" t="s">
        <v>9</v>
      </c>
      <c r="G189" s="2"/>
      <c r="H189" s="10"/>
      <c r="I189" s="7"/>
      <c r="J189" s="46"/>
      <c r="K189" s="46"/>
      <c r="L189" s="2"/>
      <c r="M189" s="10"/>
    </row>
    <row r="190" spans="1:13" ht="15" customHeight="1">
      <c r="A190" s="10"/>
      <c r="B190" s="7"/>
      <c r="C190" s="46"/>
      <c r="D190" s="2"/>
      <c r="E190" s="14"/>
      <c r="F190" s="2"/>
      <c r="G190" s="2"/>
      <c r="H190" s="10"/>
      <c r="I190" s="4"/>
      <c r="J190" s="11"/>
      <c r="K190" s="11"/>
      <c r="L190" s="2"/>
      <c r="M190" s="10"/>
    </row>
    <row r="191" spans="1:13" ht="15" customHeight="1">
      <c r="A191" s="10"/>
      <c r="B191" s="8" t="s">
        <v>163</v>
      </c>
      <c r="C191" s="46"/>
      <c r="D191" s="2"/>
      <c r="E191" s="14"/>
      <c r="F191" s="2"/>
      <c r="G191" s="2"/>
      <c r="H191" s="10"/>
      <c r="I191" s="4"/>
      <c r="J191" s="11"/>
      <c r="K191" s="11"/>
      <c r="L191" s="2"/>
      <c r="M191" s="10"/>
    </row>
    <row r="192" spans="1:13" ht="15" customHeight="1">
      <c r="A192" s="10"/>
      <c r="B192" s="96" t="s">
        <v>140</v>
      </c>
      <c r="C192" s="46" t="s">
        <v>141</v>
      </c>
      <c r="D192" s="97">
        <f>H165*J173*J153</f>
        <v>74.122391985173664</v>
      </c>
      <c r="E192" s="98" t="s">
        <v>78</v>
      </c>
      <c r="F192" s="2"/>
      <c r="G192" s="2"/>
      <c r="H192" s="10"/>
      <c r="I192" s="4"/>
      <c r="J192" s="11"/>
      <c r="K192" s="11"/>
      <c r="L192" s="2"/>
      <c r="M192" s="10"/>
    </row>
    <row r="193" spans="1:13" ht="15" customHeight="1">
      <c r="A193" s="10"/>
      <c r="B193" s="10" t="s">
        <v>136</v>
      </c>
      <c r="C193" s="7"/>
      <c r="D193" s="13"/>
      <c r="F193" s="2"/>
      <c r="G193" s="2"/>
      <c r="H193" s="10"/>
      <c r="I193" s="4"/>
      <c r="J193" s="11"/>
      <c r="K193" s="11"/>
      <c r="L193" s="2"/>
      <c r="M193" s="10"/>
    </row>
    <row r="194" spans="1:13" ht="15" customHeight="1">
      <c r="A194" s="10"/>
      <c r="B194" s="10"/>
      <c r="C194" s="7" t="s">
        <v>142</v>
      </c>
      <c r="D194" s="13">
        <f>$H$165*J176*$J$153</f>
        <v>6.6710152786656316</v>
      </c>
      <c r="E194" t="s">
        <v>78</v>
      </c>
      <c r="F194" s="2"/>
      <c r="G194" s="7" t="s">
        <v>29</v>
      </c>
      <c r="H194" s="66">
        <f>D192-D194</f>
        <v>67.451376706508029</v>
      </c>
      <c r="I194" t="s">
        <v>78</v>
      </c>
      <c r="J194" s="11"/>
      <c r="K194" s="11"/>
      <c r="L194" s="2"/>
      <c r="M194" s="10"/>
    </row>
    <row r="195" spans="1:13" ht="15" customHeight="1">
      <c r="A195" s="10"/>
      <c r="B195" s="10"/>
      <c r="C195" s="7" t="s">
        <v>143</v>
      </c>
      <c r="D195" s="13">
        <f>$H$165*J177*$J$153</f>
        <v>30.3901807139212</v>
      </c>
      <c r="E195" t="s">
        <v>78</v>
      </c>
      <c r="F195" s="2"/>
      <c r="G195" s="7" t="s">
        <v>144</v>
      </c>
      <c r="H195" s="66">
        <f>D195</f>
        <v>30.3901807139212</v>
      </c>
      <c r="I195" t="s">
        <v>78</v>
      </c>
      <c r="J195" s="11"/>
      <c r="K195" s="11"/>
      <c r="L195" s="2"/>
      <c r="M195" s="10"/>
    </row>
    <row r="196" spans="1:13" ht="15" customHeight="1">
      <c r="A196" s="10"/>
      <c r="B196" s="10" t="s">
        <v>137</v>
      </c>
      <c r="C196" s="7"/>
      <c r="D196" s="13"/>
      <c r="F196" s="2"/>
      <c r="G196" s="2"/>
      <c r="H196" s="10"/>
      <c r="I196" s="4"/>
      <c r="J196" s="11"/>
      <c r="K196" s="11"/>
      <c r="L196" s="2"/>
      <c r="M196" s="10"/>
    </row>
    <row r="197" spans="1:13" ht="15" customHeight="1">
      <c r="A197" s="10"/>
      <c r="B197" s="10"/>
      <c r="C197" s="7" t="s">
        <v>145</v>
      </c>
      <c r="D197" s="13">
        <f>$H$165*J179*$J$153</f>
        <v>4.4473435191104205</v>
      </c>
      <c r="E197" t="s">
        <v>78</v>
      </c>
      <c r="F197" s="2"/>
      <c r="G197" s="7" t="s">
        <v>29</v>
      </c>
      <c r="H197" s="66">
        <f>D195-D197</f>
        <v>25.942837194810778</v>
      </c>
      <c r="I197" t="s">
        <v>78</v>
      </c>
      <c r="J197" s="11"/>
      <c r="K197" s="11"/>
      <c r="L197" s="2"/>
      <c r="M197" s="10"/>
    </row>
    <row r="198" spans="1:13" ht="15" customHeight="1">
      <c r="A198" s="10"/>
      <c r="B198" s="10"/>
      <c r="C198" s="7" t="s">
        <v>146</v>
      </c>
      <c r="D198" s="13">
        <f>$H$165*J180*$J$153</f>
        <v>20.260120475947467</v>
      </c>
      <c r="E198" t="s">
        <v>78</v>
      </c>
      <c r="F198" s="2"/>
      <c r="G198" s="7" t="s">
        <v>144</v>
      </c>
      <c r="H198" s="66">
        <f>D198</f>
        <v>20.260120475947467</v>
      </c>
      <c r="I198" t="s">
        <v>78</v>
      </c>
      <c r="J198" s="11"/>
      <c r="K198" s="11"/>
      <c r="L198" s="2"/>
      <c r="M198" s="10"/>
    </row>
    <row r="199" spans="1:13" ht="15" customHeight="1">
      <c r="A199" s="10"/>
      <c r="B199" s="10" t="s">
        <v>196</v>
      </c>
      <c r="C199" s="7"/>
      <c r="D199" s="13"/>
      <c r="F199" s="2"/>
      <c r="G199" s="2"/>
      <c r="H199" s="10"/>
      <c r="I199" s="4"/>
      <c r="J199" s="11"/>
      <c r="K199" s="11"/>
      <c r="L199" s="2"/>
      <c r="M199" s="10"/>
    </row>
    <row r="200" spans="1:13" ht="15" customHeight="1">
      <c r="A200" s="10"/>
      <c r="B200" s="10"/>
      <c r="C200" s="7" t="s">
        <v>142</v>
      </c>
      <c r="D200" s="13">
        <f>$H$165*J182*$J$153</f>
        <v>2.2236717595552098</v>
      </c>
      <c r="E200" t="s">
        <v>78</v>
      </c>
      <c r="F200" s="2"/>
      <c r="G200" s="7" t="s">
        <v>29</v>
      </c>
      <c r="H200" s="13">
        <f>D198-D200</f>
        <v>18.036448716392258</v>
      </c>
      <c r="I200" t="s">
        <v>78</v>
      </c>
      <c r="J200" s="11"/>
      <c r="K200" s="11"/>
      <c r="L200" s="2"/>
      <c r="M200" s="10"/>
    </row>
    <row r="201" spans="1:13" ht="15" customHeight="1">
      <c r="A201" s="10"/>
      <c r="B201" s="10"/>
      <c r="C201" s="7" t="s">
        <v>143</v>
      </c>
      <c r="D201" s="13">
        <f>$H$165*J183*$J$153</f>
        <v>0</v>
      </c>
      <c r="E201" t="s">
        <v>78</v>
      </c>
      <c r="F201" s="2"/>
      <c r="G201" s="7" t="s">
        <v>144</v>
      </c>
      <c r="H201" s="13">
        <f>D201</f>
        <v>0</v>
      </c>
      <c r="I201" t="s">
        <v>78</v>
      </c>
      <c r="J201" s="11"/>
      <c r="K201" s="11"/>
      <c r="L201" s="2"/>
      <c r="M201" s="10"/>
    </row>
    <row r="202" spans="1:13" ht="15" customHeight="1">
      <c r="A202" s="10"/>
      <c r="B202" s="10" t="s">
        <v>197</v>
      </c>
      <c r="C202" s="7"/>
      <c r="D202" s="13"/>
      <c r="F202" s="2"/>
      <c r="G202" s="2"/>
      <c r="H202" s="10"/>
      <c r="I202" s="4"/>
      <c r="J202" s="11"/>
      <c r="K202" s="11"/>
      <c r="L202" s="2"/>
      <c r="M202" s="10"/>
    </row>
    <row r="203" spans="1:13" ht="15" customHeight="1">
      <c r="A203" s="10"/>
      <c r="B203" s="10"/>
      <c r="C203" s="7" t="s">
        <v>145</v>
      </c>
      <c r="D203" s="13">
        <f>$H$165*J185*$J$153</f>
        <v>0</v>
      </c>
      <c r="E203" t="s">
        <v>78</v>
      </c>
      <c r="F203" s="2"/>
      <c r="G203" s="7" t="s">
        <v>29</v>
      </c>
      <c r="H203" s="13">
        <f>D201-D203</f>
        <v>0</v>
      </c>
      <c r="I203" t="s">
        <v>78</v>
      </c>
      <c r="J203" s="11"/>
      <c r="K203" s="11"/>
      <c r="L203" s="2"/>
      <c r="M203" s="10"/>
    </row>
    <row r="204" spans="1:13" ht="15" customHeight="1">
      <c r="A204" s="10"/>
      <c r="B204" s="10"/>
      <c r="C204" s="7" t="s">
        <v>146</v>
      </c>
      <c r="D204" s="13">
        <f>$H$165*J186*$J$153</f>
        <v>0</v>
      </c>
      <c r="E204" t="s">
        <v>78</v>
      </c>
      <c r="F204" s="2"/>
      <c r="G204" s="7" t="s">
        <v>144</v>
      </c>
      <c r="H204" s="13">
        <f>D204</f>
        <v>0</v>
      </c>
      <c r="I204" t="s">
        <v>78</v>
      </c>
      <c r="J204" s="11"/>
      <c r="K204" s="11"/>
      <c r="L204" s="2"/>
      <c r="M204" s="10"/>
    </row>
    <row r="205" spans="1:13" ht="15" customHeight="1">
      <c r="A205" s="10"/>
      <c r="B205" s="10"/>
      <c r="C205" s="7"/>
      <c r="D205" s="13"/>
      <c r="F205" s="2"/>
      <c r="G205" s="7"/>
      <c r="H205" s="13"/>
      <c r="J205" s="11"/>
      <c r="K205" s="11"/>
      <c r="L205" s="2"/>
      <c r="M205" s="10"/>
    </row>
    <row r="206" spans="1:13" ht="15" customHeight="1">
      <c r="A206" s="10"/>
      <c r="B206" s="8" t="s">
        <v>164</v>
      </c>
      <c r="C206" s="46"/>
      <c r="D206" s="2"/>
      <c r="E206" s="14"/>
      <c r="F206" s="2"/>
      <c r="G206" s="2"/>
      <c r="H206" s="10"/>
      <c r="I206" s="4"/>
      <c r="J206" s="11"/>
      <c r="K206" s="11"/>
      <c r="L206" s="2"/>
      <c r="M206" s="10"/>
    </row>
    <row r="207" spans="1:13" ht="15" customHeight="1">
      <c r="A207" s="10"/>
      <c r="B207" s="96"/>
      <c r="C207" s="7" t="s">
        <v>33</v>
      </c>
      <c r="D207" s="2">
        <f>0.1*(Qh+Qw)</f>
        <v>33.93</v>
      </c>
      <c r="E207" s="14" t="s">
        <v>78</v>
      </c>
      <c r="F207" s="2"/>
      <c r="G207" s="2"/>
      <c r="H207" s="10"/>
      <c r="I207" s="4"/>
      <c r="J207" s="11"/>
      <c r="K207" s="11"/>
      <c r="L207" s="2"/>
      <c r="M207" s="10"/>
    </row>
    <row r="208" spans="1:13" ht="15" customHeight="1">
      <c r="A208" s="10"/>
      <c r="B208" s="62" t="s">
        <v>148</v>
      </c>
      <c r="C208" s="7"/>
      <c r="D208" s="2"/>
      <c r="E208" s="14"/>
      <c r="F208" s="2"/>
      <c r="G208" s="2"/>
      <c r="H208" s="10"/>
      <c r="I208" s="4"/>
      <c r="J208" s="11"/>
      <c r="K208" s="11"/>
      <c r="L208" s="2"/>
      <c r="M208" s="10"/>
    </row>
    <row r="209" spans="1:13" ht="15" customHeight="1">
      <c r="A209" s="10"/>
      <c r="B209" s="4" t="s">
        <v>147</v>
      </c>
      <c r="C209" s="7">
        <f>1/4*J29</f>
        <v>17.5</v>
      </c>
      <c r="D209" s="2" t="s">
        <v>151</v>
      </c>
      <c r="E209" s="14"/>
      <c r="F209" s="2"/>
      <c r="G209" s="2"/>
      <c r="H209" s="10"/>
      <c r="I209" s="4"/>
      <c r="J209" s="11"/>
      <c r="K209" s="11"/>
      <c r="L209" s="2"/>
      <c r="M209" s="10"/>
    </row>
    <row r="210" spans="1:13" ht="15" customHeight="1">
      <c r="A210" s="10"/>
      <c r="B210" s="62"/>
      <c r="C210" s="7"/>
      <c r="D210" s="2"/>
      <c r="E210" s="14"/>
      <c r="F210" s="2"/>
      <c r="G210" s="2"/>
      <c r="H210" s="10"/>
      <c r="I210" s="4"/>
      <c r="J210" s="11"/>
      <c r="K210" s="11"/>
      <c r="L210" s="2"/>
      <c r="M210" s="10"/>
    </row>
    <row r="211" spans="1:13" ht="15" customHeight="1">
      <c r="A211" s="10"/>
      <c r="B211" s="62"/>
      <c r="C211" s="7"/>
      <c r="D211" s="2"/>
      <c r="E211" s="14"/>
      <c r="F211" s="2"/>
      <c r="G211" s="2"/>
      <c r="H211" s="10"/>
      <c r="I211" s="4"/>
      <c r="J211" s="11"/>
      <c r="K211" s="11"/>
      <c r="L211" s="2"/>
      <c r="M211" s="10"/>
    </row>
    <row r="212" spans="1:13" ht="15" customHeight="1">
      <c r="A212" s="10"/>
      <c r="B212" s="62"/>
      <c r="C212" s="7"/>
      <c r="D212" s="2"/>
      <c r="E212" s="14"/>
      <c r="F212" s="2"/>
      <c r="G212" s="2"/>
      <c r="H212" s="10"/>
      <c r="I212" s="4"/>
      <c r="J212" s="11"/>
      <c r="K212" s="11"/>
      <c r="L212" s="2"/>
      <c r="M212" s="10"/>
    </row>
    <row r="214" spans="1:13" ht="15" customHeight="1">
      <c r="A214" s="10"/>
      <c r="B214" s="62" t="s">
        <v>152</v>
      </c>
      <c r="C214" s="7"/>
      <c r="D214" s="2"/>
      <c r="E214" s="14"/>
      <c r="F214" s="2"/>
      <c r="G214" s="2"/>
      <c r="H214" s="10"/>
      <c r="I214" s="4"/>
      <c r="J214" s="11"/>
      <c r="K214" s="11"/>
      <c r="L214" s="2"/>
      <c r="M214" s="10"/>
    </row>
    <row r="215" spans="1:13" ht="15" customHeight="1">
      <c r="A215" s="10"/>
      <c r="B215" s="7" t="s">
        <v>153</v>
      </c>
      <c r="C215" s="7">
        <f>(1+φ1)/2</f>
        <v>1.05</v>
      </c>
      <c r="D215" s="2"/>
      <c r="E215" s="14"/>
      <c r="F215" s="2"/>
      <c r="G215" s="2"/>
      <c r="H215" s="10"/>
      <c r="I215" s="4"/>
      <c r="J215" s="11"/>
      <c r="K215" s="11"/>
      <c r="L215" s="2"/>
      <c r="M215" s="10"/>
    </row>
    <row r="216" spans="1:13" ht="15" customHeight="1">
      <c r="A216" s="10"/>
      <c r="B216" s="7" t="s">
        <v>154</v>
      </c>
      <c r="C216" s="7">
        <f>(1+φ2)/2</f>
        <v>1.085</v>
      </c>
      <c r="D216" s="2"/>
      <c r="E216" s="14"/>
      <c r="F216" s="136" t="s">
        <v>205</v>
      </c>
      <c r="G216" s="136"/>
      <c r="H216" s="10" t="s">
        <v>159</v>
      </c>
      <c r="I216" s="4"/>
      <c r="J216" s="11"/>
      <c r="K216" s="11"/>
      <c r="L216" s="2"/>
      <c r="M216" s="10"/>
    </row>
    <row r="217" spans="1:13" ht="15" customHeight="1">
      <c r="A217" s="10"/>
      <c r="B217" s="7" t="s">
        <v>157</v>
      </c>
      <c r="C217" s="101">
        <f>C216*G217*G134</f>
        <v>66.145230282352941</v>
      </c>
      <c r="D217" s="2"/>
      <c r="E217" s="14"/>
      <c r="F217" s="7" t="s">
        <v>155</v>
      </c>
      <c r="G217" s="99">
        <v>0.5</v>
      </c>
      <c r="H217" s="10"/>
      <c r="I217" s="4"/>
      <c r="J217" s="11"/>
      <c r="K217" s="11"/>
      <c r="L217" s="2"/>
      <c r="M217" s="10"/>
    </row>
    <row r="218" spans="1:13" ht="15" customHeight="1">
      <c r="A218" s="10"/>
      <c r="B218" s="7" t="s">
        <v>158</v>
      </c>
      <c r="C218" s="101">
        <f>C216*G218*G134</f>
        <v>87.311703972705871</v>
      </c>
      <c r="D218" s="2"/>
      <c r="E218" s="14"/>
      <c r="F218" s="7" t="s">
        <v>156</v>
      </c>
      <c r="G218" s="99">
        <v>0.66</v>
      </c>
      <c r="H218" s="10"/>
      <c r="I218" s="4"/>
      <c r="J218" s="11"/>
      <c r="K218" s="11"/>
      <c r="L218" s="2"/>
      <c r="M218" s="10"/>
    </row>
    <row r="219" spans="1:13" ht="15" customHeight="1">
      <c r="A219" s="10"/>
      <c r="B219" s="7"/>
      <c r="C219" s="7"/>
      <c r="D219" s="2"/>
      <c r="E219" s="14"/>
      <c r="F219" s="7"/>
      <c r="G219" s="2"/>
      <c r="H219" s="10"/>
      <c r="I219" s="4"/>
      <c r="J219" s="11"/>
      <c r="K219" s="11"/>
      <c r="L219" s="2"/>
      <c r="M219" s="10"/>
    </row>
    <row r="220" spans="1:13" ht="15" customHeight="1">
      <c r="A220" s="10"/>
      <c r="B220" s="7"/>
      <c r="C220" s="7"/>
      <c r="D220" s="2"/>
      <c r="E220" s="14"/>
      <c r="F220" s="7"/>
      <c r="G220" s="2"/>
      <c r="H220" s="10"/>
      <c r="I220" s="4"/>
      <c r="J220" s="11"/>
      <c r="K220" s="11"/>
      <c r="L220" s="2"/>
      <c r="M220" s="10"/>
    </row>
    <row r="221" spans="1:13" ht="15" customHeight="1">
      <c r="A221" s="10"/>
      <c r="B221" s="7"/>
      <c r="C221" s="7"/>
      <c r="D221" s="2"/>
      <c r="E221" s="14"/>
      <c r="F221" s="7"/>
      <c r="G221" s="2"/>
      <c r="H221" s="10"/>
      <c r="I221" s="4"/>
      <c r="J221" s="11"/>
      <c r="K221" s="11"/>
      <c r="L221" s="2"/>
      <c r="M221" s="10"/>
    </row>
    <row r="222" spans="1:13" ht="15" customHeight="1">
      <c r="A222" s="10"/>
      <c r="B222" s="7"/>
      <c r="C222" s="7"/>
      <c r="D222" s="2"/>
      <c r="E222" s="14"/>
      <c r="F222" s="7"/>
      <c r="G222" s="2"/>
      <c r="H222" s="10"/>
      <c r="I222" s="4"/>
      <c r="J222" s="11"/>
      <c r="K222" s="11"/>
      <c r="L222" s="2"/>
      <c r="M222" s="10"/>
    </row>
    <row r="223" spans="1:13" ht="15" customHeight="1">
      <c r="A223" s="10"/>
      <c r="B223" s="7"/>
      <c r="C223" s="7"/>
      <c r="D223" s="2"/>
      <c r="E223" s="14"/>
      <c r="F223" s="7"/>
      <c r="G223" s="2"/>
      <c r="H223" s="10"/>
      <c r="I223" s="4"/>
      <c r="J223" s="11"/>
      <c r="K223" s="11"/>
      <c r="L223" s="2"/>
      <c r="M223" s="10"/>
    </row>
    <row r="224" spans="1:13" ht="15" customHeight="1">
      <c r="A224" s="10"/>
      <c r="B224" s="7"/>
      <c r="C224" s="7"/>
      <c r="D224" s="2"/>
      <c r="E224" s="14"/>
      <c r="F224" s="7"/>
      <c r="G224" s="2"/>
      <c r="H224" s="10"/>
      <c r="I224" s="4"/>
      <c r="J224" s="11"/>
      <c r="K224" s="11"/>
      <c r="L224" s="2"/>
      <c r="M224" s="10"/>
    </row>
    <row r="225" spans="1:13" ht="15" customHeight="1">
      <c r="A225" s="10"/>
      <c r="B225" s="7"/>
      <c r="C225" s="7"/>
      <c r="D225" s="2"/>
      <c r="E225" s="14"/>
      <c r="F225" s="7"/>
      <c r="G225" s="2"/>
      <c r="H225" s="10"/>
      <c r="I225" s="4"/>
      <c r="J225" s="11"/>
      <c r="K225" s="11"/>
      <c r="L225" s="2"/>
      <c r="M225" s="10"/>
    </row>
    <row r="226" spans="1:13" ht="15" customHeight="1">
      <c r="A226" s="10"/>
      <c r="B226" s="7"/>
      <c r="C226" s="7"/>
      <c r="D226" s="2"/>
      <c r="E226" s="14"/>
      <c r="F226" s="7"/>
      <c r="G226" s="2"/>
      <c r="H226" s="10"/>
      <c r="I226" s="4"/>
      <c r="J226" s="11"/>
      <c r="K226" s="11"/>
      <c r="L226" s="2"/>
      <c r="M226" s="10"/>
    </row>
    <row r="227" spans="1:13" ht="15" customHeight="1">
      <c r="A227" s="10"/>
      <c r="B227" s="7"/>
      <c r="C227" s="7"/>
      <c r="D227" s="2"/>
      <c r="E227" s="14"/>
      <c r="F227" s="2"/>
      <c r="G227" s="2"/>
      <c r="H227" s="10"/>
      <c r="I227" s="4"/>
      <c r="J227" s="11"/>
      <c r="K227" s="11"/>
      <c r="L227" s="2"/>
      <c r="M227" s="10"/>
    </row>
    <row r="228" spans="1:13" ht="15" customHeight="1">
      <c r="A228" s="10"/>
      <c r="B228" s="7"/>
      <c r="C228" s="7"/>
      <c r="D228" s="2"/>
      <c r="E228" s="14"/>
      <c r="F228" s="2"/>
      <c r="G228" s="2"/>
      <c r="H228" s="10"/>
      <c r="I228" s="4"/>
      <c r="J228" s="11"/>
      <c r="K228" s="11"/>
      <c r="L228" s="2"/>
      <c r="M228" s="10"/>
    </row>
  </sheetData>
  <mergeCells count="28">
    <mergeCell ref="A1:M1"/>
    <mergeCell ref="B62:D65"/>
    <mergeCell ref="B66:D66"/>
    <mergeCell ref="B68:D68"/>
    <mergeCell ref="B75:D75"/>
    <mergeCell ref="B84:C84"/>
    <mergeCell ref="B85:L85"/>
    <mergeCell ref="B76:C76"/>
    <mergeCell ref="B77:C77"/>
    <mergeCell ref="B78:C78"/>
    <mergeCell ref="B79:C79"/>
    <mergeCell ref="B80:C80"/>
    <mergeCell ref="F216:G216"/>
    <mergeCell ref="B43:D45"/>
    <mergeCell ref="B58:C58"/>
    <mergeCell ref="B42:D42"/>
    <mergeCell ref="B46:B49"/>
    <mergeCell ref="C46:C47"/>
    <mergeCell ref="C48:C49"/>
    <mergeCell ref="B50:B57"/>
    <mergeCell ref="C50:C53"/>
    <mergeCell ref="C54:C57"/>
    <mergeCell ref="B86:L86"/>
    <mergeCell ref="L156:M156"/>
    <mergeCell ref="F166:I166"/>
    <mergeCell ref="B81:C81"/>
    <mergeCell ref="B82:C82"/>
    <mergeCell ref="B83:C83"/>
  </mergeCells>
  <pageMargins left="0.98425196850393704" right="0.98425196850393704" top="0.98425196850393704" bottom="0.98425196850393704" header="0.51181102362204722" footer="0.51181102362204722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suwnica OK Sedlacek</vt:lpstr>
      <vt:lpstr>'suwnica OK Sedlacek'!emin</vt:lpstr>
      <vt:lpstr>'suwnica OK Sedlacek'!Ls</vt:lpstr>
      <vt:lpstr>'suwnica OK Sedlacek'!n</vt:lpstr>
      <vt:lpstr>'suwnica OK Sedlacek'!Obszar_wydruku</vt:lpstr>
      <vt:lpstr>'suwnica OK Sedlacek'!Qh</vt:lpstr>
      <vt:lpstr>'suwnica OK Sedlacek'!Qs</vt:lpstr>
      <vt:lpstr>'suwnica OK Sedlacek'!Qw</vt:lpstr>
      <vt:lpstr>'suwnica OK Sedlacek'!R_</vt:lpstr>
      <vt:lpstr>'suwnica OK Sedlacek'!φ1</vt:lpstr>
      <vt:lpstr>'suwnica OK Sedlacek'!φ2</vt:lpstr>
      <vt:lpstr>'suwnica OK Sedlacek'!φ3</vt:lpstr>
      <vt:lpstr>'suwnica OK Sedlacek'!φ4</vt:lpstr>
      <vt:lpstr>'suwnica OK Sedlacek'!φ5</vt:lpstr>
    </vt:vector>
  </TitlesOfParts>
  <Company>CHODOR PROJEKT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OBCIĄŻEŃ EC</dc:title>
  <dc:creator>KATARZYNA MICIGOLSKA</dc:creator>
  <dc:description>:) wszelkie prawa zastrzeżone !!!!</dc:description>
  <cp:lastModifiedBy>Chodor-Projekt_3</cp:lastModifiedBy>
  <cp:lastPrinted>2017-04-06T11:26:07Z</cp:lastPrinted>
  <dcterms:created xsi:type="dcterms:W3CDTF">2009-05-25T08:33:25Z</dcterms:created>
  <dcterms:modified xsi:type="dcterms:W3CDTF">2017-04-07T08:27:38Z</dcterms:modified>
</cp:coreProperties>
</file>